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CC1E" lockStructure="1"/>
  <bookViews>
    <workbookView xWindow="0" yWindow="0" windowWidth="16380" windowHeight="8190" tabRatio="592" firstSheet="3" activeTab="3"/>
  </bookViews>
  <sheets>
    <sheet name="INPUT" sheetId="1" state="hidden" r:id="rId1"/>
    <sheet name="allineamento" sheetId="2" state="hidden" r:id="rId2"/>
    <sheet name="INPUT1" sheetId="3" state="hidden" r:id="rId3"/>
    <sheet name="SUPERETERODINA" sheetId="4" r:id="rId4"/>
  </sheets>
  <calcPr calcId="145621"/>
</workbook>
</file>

<file path=xl/calcChain.xml><?xml version="1.0" encoding="utf-8"?>
<calcChain xmlns="http://schemas.openxmlformats.org/spreadsheetml/2006/main">
  <c r="C22" i="3" l="1"/>
  <c r="P25" i="4" l="1"/>
  <c r="P23" i="4"/>
  <c r="S23" i="4" l="1"/>
  <c r="D9" i="3" l="1"/>
  <c r="E13" i="3"/>
  <c r="E12" i="3"/>
  <c r="L12" i="3"/>
  <c r="P12" i="3"/>
  <c r="I31" i="4"/>
  <c r="I23" i="4"/>
  <c r="F13" i="3" l="1"/>
  <c r="F12" i="3"/>
  <c r="C23" i="3" s="1"/>
  <c r="E14" i="3" s="1"/>
  <c r="C24" i="3"/>
  <c r="E15" i="3" s="1"/>
  <c r="F15" i="3" l="1"/>
  <c r="C25" i="3"/>
  <c r="I12" i="3" s="1"/>
  <c r="F14" i="3" l="1"/>
  <c r="P4" i="2"/>
  <c r="T4" i="2"/>
  <c r="Q4" i="2"/>
  <c r="R9" i="3" l="1"/>
  <c r="R8" i="3"/>
  <c r="R7" i="3"/>
  <c r="R6" i="3"/>
  <c r="R10" i="3" l="1"/>
  <c r="E18" i="3" s="1"/>
  <c r="L3" i="2"/>
  <c r="K3" i="2"/>
  <c r="H4" i="2"/>
  <c r="E2" i="2"/>
  <c r="C3" i="1"/>
  <c r="C4" i="1"/>
  <c r="C5" i="1"/>
  <c r="J8" i="2"/>
  <c r="I18" i="3" l="1"/>
  <c r="M25" i="4" s="1"/>
  <c r="M31" i="4" s="1"/>
  <c r="C8" i="1"/>
  <c r="C17" i="1" s="1"/>
  <c r="C19" i="1" l="1"/>
  <c r="C18" i="1"/>
  <c r="L18" i="3"/>
  <c r="C6" i="1"/>
  <c r="R4" i="2"/>
  <c r="D7" i="3"/>
  <c r="S4" i="2" l="1"/>
  <c r="W203" i="2" s="1"/>
  <c r="M23" i="4"/>
  <c r="S25" i="4" s="1"/>
  <c r="C28" i="1"/>
  <c r="D5" i="3"/>
  <c r="I33" i="4" s="1"/>
  <c r="C7" i="1"/>
  <c r="E7" i="1" s="1"/>
  <c r="B6" i="2"/>
  <c r="B8" i="2" s="1"/>
  <c r="C8" i="2" s="1"/>
  <c r="E6" i="1"/>
  <c r="C27" i="1"/>
  <c r="C29" i="1"/>
  <c r="C26" i="1"/>
  <c r="W186" i="2" l="1"/>
  <c r="W191" i="2"/>
  <c r="W181" i="2"/>
  <c r="W190" i="2"/>
  <c r="W221" i="2"/>
  <c r="W224" i="2"/>
  <c r="W222" i="2"/>
  <c r="W176" i="2"/>
  <c r="W175" i="2"/>
  <c r="W197" i="2"/>
  <c r="W192" i="2"/>
  <c r="W177" i="2"/>
  <c r="W201" i="2"/>
  <c r="W205" i="2"/>
  <c r="W202" i="2"/>
  <c r="W213" i="2"/>
  <c r="W183" i="2"/>
  <c r="W182" i="2"/>
  <c r="W223" i="2"/>
  <c r="W198" i="2"/>
  <c r="W185" i="2"/>
  <c r="W189" i="2"/>
  <c r="W211" i="2"/>
  <c r="W217" i="2"/>
  <c r="W207" i="2"/>
  <c r="W195" i="2"/>
  <c r="W199" i="2"/>
  <c r="W184" i="2"/>
  <c r="W209" i="2"/>
  <c r="W196" i="2"/>
  <c r="W215" i="2"/>
  <c r="W188" i="2"/>
  <c r="B5" i="2"/>
  <c r="W206" i="2"/>
  <c r="W194" i="2"/>
  <c r="W200" i="2"/>
  <c r="W216" i="2"/>
  <c r="W218" i="2"/>
  <c r="W179" i="2"/>
  <c r="W180" i="2"/>
  <c r="W178" i="2"/>
  <c r="W212" i="2"/>
  <c r="W214" i="2"/>
  <c r="W208" i="2"/>
  <c r="W220" i="2"/>
  <c r="W219" i="2"/>
  <c r="W187" i="2"/>
  <c r="W210" i="2"/>
  <c r="W204" i="2"/>
  <c r="W193" i="2"/>
  <c r="C12" i="1"/>
  <c r="C20" i="1" s="1"/>
  <c r="C15" i="1"/>
  <c r="S14" i="2" s="1"/>
  <c r="E8" i="2" s="1"/>
  <c r="W8" i="2"/>
  <c r="C22" i="1" l="1"/>
  <c r="C25" i="1" s="1"/>
  <c r="P14" i="2"/>
  <c r="E3" i="2" s="1"/>
  <c r="C21" i="1"/>
  <c r="B9" i="2"/>
  <c r="W9" i="2" s="1"/>
  <c r="I25" i="4" l="1"/>
  <c r="D8" i="2"/>
  <c r="F8" i="2" s="1"/>
  <c r="C24" i="1"/>
  <c r="C23" i="1"/>
  <c r="C9" i="2"/>
  <c r="D9" i="2"/>
  <c r="B10" i="2"/>
  <c r="J9" i="2"/>
  <c r="E9" i="2"/>
  <c r="C16" i="1" l="1"/>
  <c r="T14" i="2" s="1"/>
  <c r="H8" i="2" s="1"/>
  <c r="L5" i="3" s="1"/>
  <c r="I35" i="4" s="1"/>
  <c r="C14" i="1"/>
  <c r="R14" i="2" s="1"/>
  <c r="H2" i="2" s="1"/>
  <c r="I27" i="4" s="1"/>
  <c r="C13" i="1"/>
  <c r="Q14" i="2" s="1"/>
  <c r="H3" i="2" s="1"/>
  <c r="P6" i="2" s="1"/>
  <c r="A8" i="2"/>
  <c r="L8" i="2"/>
  <c r="F9" i="2"/>
  <c r="W10" i="2"/>
  <c r="J10" i="2" s="1"/>
  <c r="C10" i="2"/>
  <c r="P7" i="2" l="1"/>
  <c r="K8" i="2"/>
  <c r="G9" i="2"/>
  <c r="H9" i="2"/>
  <c r="H10" i="2" s="1"/>
  <c r="I29" i="4"/>
  <c r="G8" i="2"/>
  <c r="A9" i="2"/>
  <c r="L9" i="2"/>
  <c r="E10" i="2"/>
  <c r="D10" i="2"/>
  <c r="B11" i="2"/>
  <c r="G10" i="2"/>
  <c r="P18" i="3" l="1"/>
  <c r="R31" i="4" s="1"/>
  <c r="K9" i="2"/>
  <c r="I9" i="2"/>
  <c r="N9" i="2" s="1"/>
  <c r="W3" i="4" s="1"/>
  <c r="P10" i="2"/>
  <c r="M27" i="4"/>
  <c r="I8" i="2"/>
  <c r="F10" i="2"/>
  <c r="L10" i="2" s="1"/>
  <c r="K10" i="2" s="1"/>
  <c r="I10" i="2"/>
  <c r="C11" i="2"/>
  <c r="W11" i="2"/>
  <c r="H11" i="2" s="1"/>
  <c r="M9" i="2" l="1"/>
  <c r="N8" i="2"/>
  <c r="W2" i="4" s="1"/>
  <c r="P27" i="4"/>
  <c r="M8" i="2"/>
  <c r="N10" i="2"/>
  <c r="W4" i="4" s="1"/>
  <c r="M10" i="2"/>
  <c r="A10" i="2"/>
  <c r="E11" i="2"/>
  <c r="B12" i="2"/>
  <c r="D11" i="2"/>
  <c r="G11" i="2"/>
  <c r="J11" i="2"/>
  <c r="I11" i="2" l="1"/>
  <c r="F11" i="2"/>
  <c r="L11" i="2" s="1"/>
  <c r="K11" i="2" s="1"/>
  <c r="C12" i="2"/>
  <c r="W12" i="2"/>
  <c r="N11" i="2" l="1"/>
  <c r="W5" i="4" s="1"/>
  <c r="M11" i="2"/>
  <c r="A11" i="2"/>
  <c r="E12" i="2"/>
  <c r="D12" i="2"/>
  <c r="B13" i="2"/>
  <c r="G12" i="2"/>
  <c r="H12" i="2"/>
  <c r="J12" i="2"/>
  <c r="F12" i="2" l="1"/>
  <c r="L12" i="2" s="1"/>
  <c r="K12" i="2" s="1"/>
  <c r="I12" i="2"/>
  <c r="C13" i="2"/>
  <c r="W13" i="2"/>
  <c r="N12" i="2" l="1"/>
  <c r="W6" i="4" s="1"/>
  <c r="A12" i="2"/>
  <c r="M12" i="2"/>
  <c r="H13" i="2"/>
  <c r="D13" i="2"/>
  <c r="G13" i="2"/>
  <c r="B14" i="2"/>
  <c r="E13" i="2"/>
  <c r="J13" i="2"/>
  <c r="F13" i="2" l="1"/>
  <c r="A13" i="2" s="1"/>
  <c r="C14" i="2"/>
  <c r="W14" i="2"/>
  <c r="I13" i="2"/>
  <c r="N13" i="2" l="1"/>
  <c r="W7" i="4" s="1"/>
  <c r="L13" i="2"/>
  <c r="K13" i="2" s="1"/>
  <c r="J14" i="2"/>
  <c r="B15" i="2"/>
  <c r="G14" i="2"/>
  <c r="D14" i="2"/>
  <c r="H14" i="2"/>
  <c r="M13" i="2"/>
  <c r="E14" i="2"/>
  <c r="I14" i="2" l="1"/>
  <c r="F14" i="2"/>
  <c r="W15" i="2"/>
  <c r="H15" i="2" s="1"/>
  <c r="C15" i="2"/>
  <c r="N14" i="2" l="1"/>
  <c r="W8" i="4" s="1"/>
  <c r="M14" i="2"/>
  <c r="A14" i="2"/>
  <c r="L14" i="2"/>
  <c r="K14" i="2" s="1"/>
  <c r="G15" i="2"/>
  <c r="I15" i="2" s="1"/>
  <c r="D15" i="2"/>
  <c r="B16" i="2"/>
  <c r="J15" i="2"/>
  <c r="E15" i="2"/>
  <c r="F15" i="2" l="1"/>
  <c r="L15" i="2" s="1"/>
  <c r="K15" i="2" s="1"/>
  <c r="W16" i="2"/>
  <c r="E16" i="2" s="1"/>
  <c r="C16" i="2"/>
  <c r="N15" i="2" l="1"/>
  <c r="W9" i="4" s="1"/>
  <c r="M15" i="2"/>
  <c r="A15" i="2"/>
  <c r="J16" i="2"/>
  <c r="G16" i="2"/>
  <c r="D16" i="2"/>
  <c r="F16" i="2" s="1"/>
  <c r="B17" i="2"/>
  <c r="H16" i="2"/>
  <c r="I16" i="2" l="1"/>
  <c r="L16" i="2"/>
  <c r="K16" i="2" s="1"/>
  <c r="A16" i="2"/>
  <c r="C17" i="2"/>
  <c r="W17" i="2"/>
  <c r="H17" i="2" s="1"/>
  <c r="M16" i="2" l="1"/>
  <c r="N16" i="2"/>
  <c r="W10" i="4" s="1"/>
  <c r="J17" i="2"/>
  <c r="D17" i="2"/>
  <c r="B18" i="2"/>
  <c r="G17" i="2"/>
  <c r="I17" i="2" s="1"/>
  <c r="E17" i="2"/>
  <c r="F17" i="2" l="1"/>
  <c r="N17" i="2" s="1"/>
  <c r="W11" i="4" s="1"/>
  <c r="W18" i="2"/>
  <c r="E18" i="2" s="1"/>
  <c r="C18" i="2"/>
  <c r="A17" i="2" l="1"/>
  <c r="M17" i="2"/>
  <c r="L17" i="2"/>
  <c r="K17" i="2" s="1"/>
  <c r="J18" i="2"/>
  <c r="G18" i="2"/>
  <c r="D18" i="2"/>
  <c r="F18" i="2" s="1"/>
  <c r="B19" i="2"/>
  <c r="H18" i="2"/>
  <c r="I18" i="2" l="1"/>
  <c r="C19" i="2"/>
  <c r="W19" i="2"/>
  <c r="J19" i="2" s="1"/>
  <c r="A18" i="2"/>
  <c r="L18" i="2"/>
  <c r="K18" i="2" s="1"/>
  <c r="M18" i="2" l="1"/>
  <c r="N18" i="2"/>
  <c r="W12" i="4" s="1"/>
  <c r="H19" i="2"/>
  <c r="G19" i="2"/>
  <c r="D19" i="2"/>
  <c r="B20" i="2"/>
  <c r="E19" i="2"/>
  <c r="I19" i="2" l="1"/>
  <c r="F19" i="2"/>
  <c r="A19" i="2" s="1"/>
  <c r="C20" i="2"/>
  <c r="W20" i="2"/>
  <c r="N19" i="2" l="1"/>
  <c r="W13" i="4" s="1"/>
  <c r="L19" i="2"/>
  <c r="K19" i="2" s="1"/>
  <c r="M19" i="2"/>
  <c r="H20" i="2"/>
  <c r="B21" i="2"/>
  <c r="G20" i="2"/>
  <c r="D20" i="2"/>
  <c r="J20" i="2"/>
  <c r="E20" i="2"/>
  <c r="F20" i="2" l="1"/>
  <c r="A20" i="2" s="1"/>
  <c r="I20" i="2"/>
  <c r="W21" i="2"/>
  <c r="J21" i="2" s="1"/>
  <c r="C21" i="2"/>
  <c r="N20" i="2" l="1"/>
  <c r="W14" i="4" s="1"/>
  <c r="L20" i="2"/>
  <c r="K20" i="2" s="1"/>
  <c r="M20" i="2"/>
  <c r="B22" i="2"/>
  <c r="G21" i="2"/>
  <c r="D21" i="2"/>
  <c r="H21" i="2"/>
  <c r="E21" i="2"/>
  <c r="F21" i="2" l="1"/>
  <c r="I21" i="2"/>
  <c r="W22" i="2"/>
  <c r="H22" i="2" s="1"/>
  <c r="C22" i="2"/>
  <c r="N21" i="2" l="1"/>
  <c r="W15" i="4" s="1"/>
  <c r="M21" i="2"/>
  <c r="A21" i="2"/>
  <c r="L21" i="2"/>
  <c r="K21" i="2" s="1"/>
  <c r="G22" i="2"/>
  <c r="I22" i="2" s="1"/>
  <c r="D22" i="2"/>
  <c r="B23" i="2"/>
  <c r="J22" i="2"/>
  <c r="E22" i="2"/>
  <c r="F22" i="2" l="1"/>
  <c r="L22" i="2" s="1"/>
  <c r="K22" i="2" s="1"/>
  <c r="C23" i="2"/>
  <c r="W23" i="2"/>
  <c r="J23" i="2" s="1"/>
  <c r="N22" i="2" l="1"/>
  <c r="W16" i="4" s="1"/>
  <c r="M22" i="2"/>
  <c r="A22" i="2"/>
  <c r="E23" i="2"/>
  <c r="D23" i="2"/>
  <c r="B24" i="2"/>
  <c r="G23" i="2"/>
  <c r="H23" i="2"/>
  <c r="F23" i="2" l="1"/>
  <c r="A23" i="2" s="1"/>
  <c r="I23" i="2"/>
  <c r="C24" i="2"/>
  <c r="W24" i="2"/>
  <c r="N23" i="2" l="1"/>
  <c r="W17" i="4" s="1"/>
  <c r="L23" i="2"/>
  <c r="K23" i="2" s="1"/>
  <c r="M23" i="2"/>
  <c r="D24" i="2"/>
  <c r="G24" i="2"/>
  <c r="E24" i="2"/>
  <c r="B25" i="2"/>
  <c r="J24" i="2"/>
  <c r="H24" i="2"/>
  <c r="I24" i="2" l="1"/>
  <c r="F24" i="2"/>
  <c r="L24" i="2" s="1"/>
  <c r="K24" i="2" s="1"/>
  <c r="C25" i="2"/>
  <c r="W25" i="2"/>
  <c r="E25" i="2" s="1"/>
  <c r="N24" i="2" l="1"/>
  <c r="W18" i="4" s="1"/>
  <c r="M24" i="2"/>
  <c r="A24" i="2"/>
  <c r="B26" i="2"/>
  <c r="G25" i="2"/>
  <c r="D25" i="2"/>
  <c r="F25" i="2" s="1"/>
  <c r="J25" i="2"/>
  <c r="H25" i="2"/>
  <c r="L25" i="2" l="1"/>
  <c r="K25" i="2" s="1"/>
  <c r="I25" i="2"/>
  <c r="A25" i="2"/>
  <c r="C26" i="2"/>
  <c r="W26" i="2"/>
  <c r="M25" i="2" l="1"/>
  <c r="N25" i="2"/>
  <c r="W19" i="4" s="1"/>
  <c r="J26" i="2"/>
  <c r="G26" i="2"/>
  <c r="D26" i="2"/>
  <c r="B27" i="2"/>
  <c r="E26" i="2"/>
  <c r="H26" i="2"/>
  <c r="I26" i="2" l="1"/>
  <c r="W27" i="2"/>
  <c r="C27" i="2"/>
  <c r="F26" i="2"/>
  <c r="N26" i="2" l="1"/>
  <c r="W20" i="4" s="1"/>
  <c r="D27" i="2"/>
  <c r="B28" i="2"/>
  <c r="G27" i="2"/>
  <c r="M26" i="2"/>
  <c r="J27" i="2"/>
  <c r="E27" i="2"/>
  <c r="L26" i="2"/>
  <c r="K26" i="2" s="1"/>
  <c r="A26" i="2"/>
  <c r="H27" i="2"/>
  <c r="I27" i="2" l="1"/>
  <c r="F27" i="2"/>
  <c r="C28" i="2"/>
  <c r="W28" i="2"/>
  <c r="H28" i="2" s="1"/>
  <c r="N27" i="2" l="1"/>
  <c r="W21" i="4" s="1"/>
  <c r="M27" i="2"/>
  <c r="L27" i="2"/>
  <c r="K27" i="2" s="1"/>
  <c r="A27" i="2"/>
  <c r="E28" i="2"/>
  <c r="B29" i="2"/>
  <c r="G28" i="2"/>
  <c r="I28" i="2" s="1"/>
  <c r="D28" i="2"/>
  <c r="J28" i="2"/>
  <c r="F28" i="2" l="1"/>
  <c r="A28" i="2" s="1"/>
  <c r="W29" i="2"/>
  <c r="C29" i="2"/>
  <c r="N28" i="2" l="1"/>
  <c r="W22" i="4" s="1"/>
  <c r="L28" i="2"/>
  <c r="K28" i="2" s="1"/>
  <c r="M28" i="2"/>
  <c r="B30" i="2"/>
  <c r="G29" i="2"/>
  <c r="D29" i="2"/>
  <c r="H29" i="2"/>
  <c r="E29" i="2"/>
  <c r="J29" i="2"/>
  <c r="I29" i="2" l="1"/>
  <c r="F29" i="2"/>
  <c r="C30" i="2"/>
  <c r="W30" i="2"/>
  <c r="E30" i="2" s="1"/>
  <c r="N29" i="2" l="1"/>
  <c r="W23" i="4" s="1"/>
  <c r="J30" i="2"/>
  <c r="L29" i="2"/>
  <c r="K29" i="2" s="1"/>
  <c r="A29" i="2"/>
  <c r="M29" i="2"/>
  <c r="H30" i="2"/>
  <c r="G30" i="2"/>
  <c r="D30" i="2"/>
  <c r="F30" i="2" s="1"/>
  <c r="B31" i="2"/>
  <c r="I30" i="2" l="1"/>
  <c r="L30" i="2"/>
  <c r="K30" i="2" s="1"/>
  <c r="A30" i="2"/>
  <c r="C31" i="2"/>
  <c r="W31" i="2"/>
  <c r="M30" i="2" l="1"/>
  <c r="N30" i="2"/>
  <c r="W24" i="4" s="1"/>
  <c r="J31" i="2"/>
  <c r="H31" i="2"/>
  <c r="E31" i="2"/>
  <c r="B32" i="2"/>
  <c r="G31" i="2"/>
  <c r="D31" i="2"/>
  <c r="I31" i="2" l="1"/>
  <c r="F31" i="2"/>
  <c r="W32" i="2"/>
  <c r="E32" i="2" s="1"/>
  <c r="C32" i="2"/>
  <c r="N31" i="2" l="1"/>
  <c r="W25" i="4" s="1"/>
  <c r="M31" i="2"/>
  <c r="J32" i="2"/>
  <c r="H32" i="2"/>
  <c r="L31" i="2"/>
  <c r="K31" i="2" s="1"/>
  <c r="A31" i="2"/>
  <c r="D32" i="2"/>
  <c r="F32" i="2" s="1"/>
  <c r="B33" i="2"/>
  <c r="G32" i="2"/>
  <c r="I32" i="2" l="1"/>
  <c r="L32" i="2"/>
  <c r="K32" i="2" s="1"/>
  <c r="A32" i="2"/>
  <c r="W33" i="2"/>
  <c r="C33" i="2"/>
  <c r="M32" i="2" l="1"/>
  <c r="N32" i="2"/>
  <c r="W26" i="4" s="1"/>
  <c r="E33" i="2"/>
  <c r="H33" i="2"/>
  <c r="J33" i="2"/>
  <c r="D33" i="2"/>
  <c r="G33" i="2"/>
  <c r="B34" i="2"/>
  <c r="F33" i="2" l="1"/>
  <c r="A33" i="2" s="1"/>
  <c r="I33" i="2"/>
  <c r="C34" i="2"/>
  <c r="W34" i="2"/>
  <c r="H34" i="2" s="1"/>
  <c r="N33" i="2" l="1"/>
  <c r="W27" i="4" s="1"/>
  <c r="M33" i="2"/>
  <c r="L33" i="2"/>
  <c r="K33" i="2" s="1"/>
  <c r="J34" i="2"/>
  <c r="E34" i="2"/>
  <c r="B35" i="2"/>
  <c r="G34" i="2"/>
  <c r="I34" i="2" s="1"/>
  <c r="D34" i="2"/>
  <c r="F34" i="2" l="1"/>
  <c r="L34" i="2" s="1"/>
  <c r="K34" i="2" s="1"/>
  <c r="C35" i="2"/>
  <c r="W35" i="2"/>
  <c r="J35" i="2" s="1"/>
  <c r="N34" i="2" l="1"/>
  <c r="W28" i="4" s="1"/>
  <c r="M34" i="2"/>
  <c r="A34" i="2"/>
  <c r="H35" i="2"/>
  <c r="E35" i="2"/>
  <c r="G35" i="2"/>
  <c r="D35" i="2"/>
  <c r="B36" i="2"/>
  <c r="F35" i="2" l="1"/>
  <c r="L35" i="2" s="1"/>
  <c r="K35" i="2" s="1"/>
  <c r="I35" i="2"/>
  <c r="C36" i="2"/>
  <c r="W36" i="2"/>
  <c r="H36" i="2" s="1"/>
  <c r="N35" i="2" l="1"/>
  <c r="W29" i="4" s="1"/>
  <c r="A35" i="2"/>
  <c r="M35" i="2"/>
  <c r="J36" i="2"/>
  <c r="E36" i="2"/>
  <c r="B37" i="2"/>
  <c r="G36" i="2"/>
  <c r="I36" i="2" s="1"/>
  <c r="D36" i="2"/>
  <c r="F36" i="2" l="1"/>
  <c r="N36" i="2" s="1"/>
  <c r="W30" i="4" s="1"/>
  <c r="C37" i="2"/>
  <c r="W37" i="2"/>
  <c r="A36" i="2" l="1"/>
  <c r="L36" i="2"/>
  <c r="K36" i="2" s="1"/>
  <c r="M36" i="2"/>
  <c r="E37" i="2"/>
  <c r="H37" i="2"/>
  <c r="J37" i="2"/>
  <c r="G37" i="2"/>
  <c r="D37" i="2"/>
  <c r="F37" i="2" s="1"/>
  <c r="B38" i="2"/>
  <c r="I37" i="2" l="1"/>
  <c r="N37" i="2" s="1"/>
  <c r="W31" i="4" s="1"/>
  <c r="A37" i="2"/>
  <c r="L37" i="2"/>
  <c r="K37" i="2" s="1"/>
  <c r="C38" i="2"/>
  <c r="W38" i="2"/>
  <c r="M37" i="2" l="1"/>
  <c r="E38" i="2"/>
  <c r="H38" i="2"/>
  <c r="J38" i="2"/>
  <c r="B39" i="2"/>
  <c r="D38" i="2"/>
  <c r="G38" i="2"/>
  <c r="I38" i="2" s="1"/>
  <c r="F38" i="2" l="1"/>
  <c r="M38" i="2" s="1"/>
  <c r="C39" i="2"/>
  <c r="W39" i="2"/>
  <c r="N38" i="2" l="1"/>
  <c r="W32" i="4" s="1"/>
  <c r="L38" i="2"/>
  <c r="K38" i="2" s="1"/>
  <c r="A38" i="2"/>
  <c r="J39" i="2"/>
  <c r="E39" i="2"/>
  <c r="H39" i="2"/>
  <c r="B40" i="2"/>
  <c r="G39" i="2"/>
  <c r="D39" i="2"/>
  <c r="F39" i="2" s="1"/>
  <c r="L39" i="2" l="1"/>
  <c r="K39" i="2" s="1"/>
  <c r="I39" i="2"/>
  <c r="N39" i="2" s="1"/>
  <c r="W33" i="4" s="1"/>
  <c r="A39" i="2"/>
  <c r="W40" i="2"/>
  <c r="H40" i="2" s="1"/>
  <c r="C40" i="2"/>
  <c r="M39" i="2" l="1"/>
  <c r="J40" i="2"/>
  <c r="E40" i="2"/>
  <c r="B41" i="2"/>
  <c r="G40" i="2"/>
  <c r="I40" i="2" s="1"/>
  <c r="D40" i="2"/>
  <c r="F40" i="2" l="1"/>
  <c r="L40" i="2" s="1"/>
  <c r="K40" i="2" s="1"/>
  <c r="C41" i="2"/>
  <c r="W41" i="2"/>
  <c r="E41" i="2" s="1"/>
  <c r="N40" i="2" l="1"/>
  <c r="W34" i="4" s="1"/>
  <c r="A40" i="2"/>
  <c r="M40" i="2"/>
  <c r="J41" i="2"/>
  <c r="H41" i="2"/>
  <c r="D41" i="2"/>
  <c r="F41" i="2" s="1"/>
  <c r="B42" i="2"/>
  <c r="G41" i="2"/>
  <c r="I41" i="2" l="1"/>
  <c r="L41" i="2"/>
  <c r="K41" i="2" s="1"/>
  <c r="A41" i="2"/>
  <c r="C42" i="2"/>
  <c r="W42" i="2"/>
  <c r="M41" i="2" l="1"/>
  <c r="N41" i="2"/>
  <c r="W35" i="4" s="1"/>
  <c r="H42" i="2"/>
  <c r="J42" i="2"/>
  <c r="E42" i="2"/>
  <c r="G42" i="2"/>
  <c r="D42" i="2"/>
  <c r="B43" i="2"/>
  <c r="I42" i="2" l="1"/>
  <c r="F42" i="2"/>
  <c r="L42" i="2" s="1"/>
  <c r="K42" i="2" s="1"/>
  <c r="W43" i="2"/>
  <c r="C43" i="2"/>
  <c r="N42" i="2" l="1"/>
  <c r="W36" i="4" s="1"/>
  <c r="M42" i="2"/>
  <c r="A42" i="2"/>
  <c r="J43" i="2"/>
  <c r="E43" i="2"/>
  <c r="H43" i="2"/>
  <c r="D43" i="2"/>
  <c r="B44" i="2"/>
  <c r="G43" i="2"/>
  <c r="I43" i="2" l="1"/>
  <c r="F43" i="2"/>
  <c r="C44" i="2"/>
  <c r="W44" i="2"/>
  <c r="H44" i="2" s="1"/>
  <c r="N43" i="2" l="1"/>
  <c r="W37" i="4" s="1"/>
  <c r="L43" i="2"/>
  <c r="K43" i="2" s="1"/>
  <c r="A43" i="2"/>
  <c r="M43" i="2"/>
  <c r="J44" i="2"/>
  <c r="E44" i="2"/>
  <c r="G44" i="2"/>
  <c r="I44" i="2" s="1"/>
  <c r="D44" i="2"/>
  <c r="B45" i="2"/>
  <c r="F44" i="2" l="1"/>
  <c r="L44" i="2" s="1"/>
  <c r="K44" i="2" s="1"/>
  <c r="C45" i="2"/>
  <c r="W45" i="2"/>
  <c r="J45" i="2" s="1"/>
  <c r="N44" i="2" l="1"/>
  <c r="W38" i="4" s="1"/>
  <c r="M44" i="2"/>
  <c r="A44" i="2"/>
  <c r="E45" i="2"/>
  <c r="H45" i="2"/>
  <c r="D45" i="2"/>
  <c r="B46" i="2"/>
  <c r="G45" i="2"/>
  <c r="F45" i="2" l="1"/>
  <c r="L45" i="2" s="1"/>
  <c r="K45" i="2" s="1"/>
  <c r="I45" i="2"/>
  <c r="C46" i="2"/>
  <c r="W46" i="2"/>
  <c r="E46" i="2" s="1"/>
  <c r="N45" i="2" l="1"/>
  <c r="W39" i="4" s="1"/>
  <c r="A45" i="2"/>
  <c r="M45" i="2"/>
  <c r="J46" i="2"/>
  <c r="H46" i="2"/>
  <c r="G46" i="2"/>
  <c r="D46" i="2"/>
  <c r="F46" i="2" s="1"/>
  <c r="B47" i="2"/>
  <c r="I46" i="2" l="1"/>
  <c r="N46" i="2" s="1"/>
  <c r="W40" i="4" s="1"/>
  <c r="A46" i="2"/>
  <c r="L46" i="2"/>
  <c r="K46" i="2" s="1"/>
  <c r="W47" i="2"/>
  <c r="C47" i="2"/>
  <c r="M46" i="2" l="1"/>
  <c r="H47" i="2"/>
  <c r="E47" i="2"/>
  <c r="J47" i="2"/>
  <c r="D47" i="2"/>
  <c r="B48" i="2"/>
  <c r="G47" i="2"/>
  <c r="F47" i="2" l="1"/>
  <c r="A47" i="2" s="1"/>
  <c r="I47" i="2"/>
  <c r="C48" i="2"/>
  <c r="W48" i="2"/>
  <c r="N47" i="2" l="1"/>
  <c r="W41" i="4" s="1"/>
  <c r="L47" i="2"/>
  <c r="K47" i="2" s="1"/>
  <c r="M47" i="2"/>
  <c r="E48" i="2"/>
  <c r="J48" i="2"/>
  <c r="H48" i="2"/>
  <c r="D48" i="2"/>
  <c r="B49" i="2"/>
  <c r="G48" i="2"/>
  <c r="F48" i="2" l="1"/>
  <c r="L48" i="2" s="1"/>
  <c r="K48" i="2" s="1"/>
  <c r="I48" i="2"/>
  <c r="C49" i="2"/>
  <c r="W49" i="2"/>
  <c r="N48" i="2" l="1"/>
  <c r="W42" i="4" s="1"/>
  <c r="A48" i="2"/>
  <c r="M48" i="2"/>
  <c r="H49" i="2"/>
  <c r="E49" i="2"/>
  <c r="J49" i="2"/>
  <c r="G49" i="2"/>
  <c r="D49" i="2"/>
  <c r="B50" i="2"/>
  <c r="I49" i="2" l="1"/>
  <c r="F49" i="2"/>
  <c r="C50" i="2"/>
  <c r="W50" i="2"/>
  <c r="N49" i="2" l="1"/>
  <c r="W43" i="4" s="1"/>
  <c r="L49" i="2"/>
  <c r="K49" i="2" s="1"/>
  <c r="A49" i="2"/>
  <c r="M49" i="2"/>
  <c r="J50" i="2"/>
  <c r="H50" i="2"/>
  <c r="E50" i="2"/>
  <c r="G50" i="2"/>
  <c r="D50" i="2"/>
  <c r="B51" i="2"/>
  <c r="F50" i="2" l="1"/>
  <c r="L50" i="2" s="1"/>
  <c r="K50" i="2" s="1"/>
  <c r="I50" i="2"/>
  <c r="W51" i="2"/>
  <c r="J51" i="2" s="1"/>
  <c r="C51" i="2"/>
  <c r="N50" i="2" l="1"/>
  <c r="W44" i="4" s="1"/>
  <c r="M50" i="2"/>
  <c r="A50" i="2"/>
  <c r="E51" i="2"/>
  <c r="H51" i="2"/>
  <c r="B52" i="2"/>
  <c r="G51" i="2"/>
  <c r="D51" i="2"/>
  <c r="F51" i="2" l="1"/>
  <c r="A51" i="2" s="1"/>
  <c r="I51" i="2"/>
  <c r="C52" i="2"/>
  <c r="W52" i="2"/>
  <c r="E52" i="2" s="1"/>
  <c r="N51" i="2" l="1"/>
  <c r="W45" i="4" s="1"/>
  <c r="L51" i="2"/>
  <c r="K51" i="2" s="1"/>
  <c r="M51" i="2"/>
  <c r="J52" i="2"/>
  <c r="H52" i="2"/>
  <c r="B53" i="2"/>
  <c r="G52" i="2"/>
  <c r="D52" i="2"/>
  <c r="F52" i="2" s="1"/>
  <c r="L52" i="2" l="1"/>
  <c r="K52" i="2"/>
  <c r="I52" i="2"/>
  <c r="A52" i="2"/>
  <c r="W53" i="2"/>
  <c r="E53" i="2" s="1"/>
  <c r="C53" i="2"/>
  <c r="M52" i="2" l="1"/>
  <c r="N52" i="2"/>
  <c r="W46" i="4" s="1"/>
  <c r="H53" i="2"/>
  <c r="J53" i="2"/>
  <c r="B54" i="2"/>
  <c r="D53" i="2"/>
  <c r="F53" i="2" s="1"/>
  <c r="G53" i="2"/>
  <c r="I53" i="2" s="1"/>
  <c r="N53" i="2" l="1"/>
  <c r="W47" i="4" s="1"/>
  <c r="L53" i="2"/>
  <c r="K53" i="2" s="1"/>
  <c r="M53" i="2"/>
  <c r="A53" i="2"/>
  <c r="W54" i="2"/>
  <c r="E54" i="2" s="1"/>
  <c r="C54" i="2"/>
  <c r="J54" i="2" l="1"/>
  <c r="H54" i="2"/>
  <c r="D54" i="2"/>
  <c r="F54" i="2" s="1"/>
  <c r="B55" i="2"/>
  <c r="G54" i="2"/>
  <c r="I54" i="2" l="1"/>
  <c r="L54" i="2"/>
  <c r="K54" i="2" s="1"/>
  <c r="A54" i="2"/>
  <c r="C55" i="2"/>
  <c r="W55" i="2"/>
  <c r="M54" i="2" l="1"/>
  <c r="N54" i="2"/>
  <c r="W48" i="4" s="1"/>
  <c r="H55" i="2"/>
  <c r="J55" i="2"/>
  <c r="E55" i="2"/>
  <c r="B56" i="2"/>
  <c r="D55" i="2"/>
  <c r="G55" i="2"/>
  <c r="I55" i="2" l="1"/>
  <c r="F55" i="2"/>
  <c r="L55" i="2" s="1"/>
  <c r="K55" i="2" s="1"/>
  <c r="C56" i="2"/>
  <c r="W56" i="2"/>
  <c r="J56" i="2" s="1"/>
  <c r="N55" i="2" l="1"/>
  <c r="W49" i="4" s="1"/>
  <c r="A55" i="2"/>
  <c r="M55" i="2"/>
  <c r="E56" i="2"/>
  <c r="H56" i="2"/>
  <c r="D56" i="2"/>
  <c r="B57" i="2"/>
  <c r="G56" i="2"/>
  <c r="I56" i="2" l="1"/>
  <c r="F56" i="2"/>
  <c r="L56" i="2" s="1"/>
  <c r="K56" i="2" s="1"/>
  <c r="C57" i="2"/>
  <c r="W57" i="2"/>
  <c r="N56" i="2" l="1"/>
  <c r="W50" i="4" s="1"/>
  <c r="M56" i="2"/>
  <c r="A56" i="2"/>
  <c r="E57" i="2"/>
  <c r="H57" i="2"/>
  <c r="J57" i="2"/>
  <c r="D57" i="2"/>
  <c r="B58" i="2"/>
  <c r="G57" i="2"/>
  <c r="I57" i="2" s="1"/>
  <c r="F57" i="2" l="1"/>
  <c r="A57" i="2" s="1"/>
  <c r="C58" i="2"/>
  <c r="W58" i="2"/>
  <c r="N57" i="2" l="1"/>
  <c r="W51" i="4" s="1"/>
  <c r="L57" i="2"/>
  <c r="K57" i="2" s="1"/>
  <c r="M57" i="2"/>
  <c r="E58" i="2"/>
  <c r="J58" i="2"/>
  <c r="H58" i="2"/>
  <c r="G58" i="2"/>
  <c r="I58" i="2" s="1"/>
  <c r="D58" i="2"/>
  <c r="F58" i="2" s="1"/>
  <c r="B59" i="2"/>
  <c r="N58" i="2" l="1"/>
  <c r="W52" i="4" s="1"/>
  <c r="M58" i="2"/>
  <c r="A58" i="2"/>
  <c r="L58" i="2"/>
  <c r="K58" i="2" s="1"/>
  <c r="C59" i="2"/>
  <c r="W59" i="2"/>
  <c r="H59" i="2" l="1"/>
  <c r="E59" i="2"/>
  <c r="J59" i="2"/>
  <c r="B60" i="2"/>
  <c r="G59" i="2"/>
  <c r="I59" i="2" s="1"/>
  <c r="D59" i="2"/>
  <c r="F59" i="2" s="1"/>
  <c r="N59" i="2" l="1"/>
  <c r="W53" i="4" s="1"/>
  <c r="L59" i="2"/>
  <c r="K59" i="2" s="1"/>
  <c r="A59" i="2"/>
  <c r="M59" i="2"/>
  <c r="C60" i="2"/>
  <c r="W60" i="2"/>
  <c r="H60" i="2" l="1"/>
  <c r="J60" i="2"/>
  <c r="E60" i="2"/>
  <c r="B61" i="2"/>
  <c r="G60" i="2"/>
  <c r="I60" i="2" s="1"/>
  <c r="D60" i="2"/>
  <c r="F60" i="2" l="1"/>
  <c r="L60" i="2" s="1"/>
  <c r="K60" i="2" s="1"/>
  <c r="C61" i="2"/>
  <c r="W61" i="2"/>
  <c r="N60" i="2" l="1"/>
  <c r="W54" i="4" s="1"/>
  <c r="A60" i="2"/>
  <c r="M60" i="2"/>
  <c r="E61" i="2"/>
  <c r="H61" i="2"/>
  <c r="J61" i="2"/>
  <c r="B62" i="2"/>
  <c r="G61" i="2"/>
  <c r="D61" i="2"/>
  <c r="I61" i="2" l="1"/>
  <c r="F61" i="2"/>
  <c r="C62" i="2"/>
  <c r="W62" i="2"/>
  <c r="J62" i="2" s="1"/>
  <c r="M61" i="2" l="1"/>
  <c r="N61" i="2"/>
  <c r="W55" i="4" s="1"/>
  <c r="L61" i="2"/>
  <c r="K61" i="2" s="1"/>
  <c r="A61" i="2"/>
  <c r="H62" i="2"/>
  <c r="E62" i="2"/>
  <c r="D62" i="2"/>
  <c r="B63" i="2"/>
  <c r="G62" i="2"/>
  <c r="I62" i="2" l="1"/>
  <c r="F62" i="2"/>
  <c r="C63" i="2"/>
  <c r="W63" i="2"/>
  <c r="H63" i="2" s="1"/>
  <c r="N62" i="2" l="1"/>
  <c r="W56" i="4" s="1"/>
  <c r="M62" i="2"/>
  <c r="A62" i="2"/>
  <c r="L62" i="2"/>
  <c r="K62" i="2" s="1"/>
  <c r="E63" i="2"/>
  <c r="J63" i="2"/>
  <c r="D63" i="2"/>
  <c r="B64" i="2"/>
  <c r="G63" i="2"/>
  <c r="I63" i="2" s="1"/>
  <c r="F63" i="2" l="1"/>
  <c r="M63" i="2" s="1"/>
  <c r="W64" i="2"/>
  <c r="H64" i="2" s="1"/>
  <c r="C64" i="2"/>
  <c r="N63" i="2" l="1"/>
  <c r="W57" i="4" s="1"/>
  <c r="L63" i="2"/>
  <c r="K63" i="2" s="1"/>
  <c r="A63" i="2"/>
  <c r="J64" i="2"/>
  <c r="E64" i="2"/>
  <c r="G64" i="2"/>
  <c r="I64" i="2" s="1"/>
  <c r="D64" i="2"/>
  <c r="B65" i="2"/>
  <c r="F64" i="2" l="1"/>
  <c r="L64" i="2" s="1"/>
  <c r="K64" i="2" s="1"/>
  <c r="C65" i="2"/>
  <c r="W65" i="2"/>
  <c r="E65" i="2" s="1"/>
  <c r="N64" i="2" l="1"/>
  <c r="W58" i="4" s="1"/>
  <c r="A64" i="2"/>
  <c r="M64" i="2"/>
  <c r="H65" i="2"/>
  <c r="J65" i="2"/>
  <c r="D65" i="2"/>
  <c r="F65" i="2" s="1"/>
  <c r="B66" i="2"/>
  <c r="G65" i="2"/>
  <c r="I65" i="2" s="1"/>
  <c r="N65" i="2" s="1"/>
  <c r="W59" i="4" s="1"/>
  <c r="L65" i="2" l="1"/>
  <c r="K65" i="2" s="1"/>
  <c r="A65" i="2"/>
  <c r="M65" i="2"/>
  <c r="C66" i="2"/>
  <c r="W66" i="2"/>
  <c r="H66" i="2" l="1"/>
  <c r="J66" i="2"/>
  <c r="E66" i="2"/>
  <c r="B67" i="2"/>
  <c r="G66" i="2"/>
  <c r="I66" i="2" s="1"/>
  <c r="D66" i="2"/>
  <c r="F66" i="2" l="1"/>
  <c r="N66" i="2" s="1"/>
  <c r="W60" i="4" s="1"/>
  <c r="C67" i="2"/>
  <c r="W67" i="2"/>
  <c r="L66" i="2" l="1"/>
  <c r="K66" i="2" s="1"/>
  <c r="A66" i="2"/>
  <c r="H67" i="2"/>
  <c r="M66" i="2"/>
  <c r="E67" i="2"/>
  <c r="J67" i="2"/>
  <c r="D67" i="2"/>
  <c r="B68" i="2"/>
  <c r="G67" i="2"/>
  <c r="I67" i="2" l="1"/>
  <c r="F67" i="2"/>
  <c r="L67" i="2" s="1"/>
  <c r="K67" i="2" s="1"/>
  <c r="W68" i="2"/>
  <c r="E68" i="2" s="1"/>
  <c r="C68" i="2"/>
  <c r="N67" i="2" l="1"/>
  <c r="W61" i="4" s="1"/>
  <c r="M67" i="2"/>
  <c r="A67" i="2"/>
  <c r="J68" i="2"/>
  <c r="H68" i="2"/>
  <c r="B69" i="2"/>
  <c r="D68" i="2"/>
  <c r="F68" i="2" s="1"/>
  <c r="A68" i="2" s="1"/>
  <c r="G68" i="2"/>
  <c r="I68" i="2" l="1"/>
  <c r="L68" i="2"/>
  <c r="K68" i="2" s="1"/>
  <c r="W69" i="2"/>
  <c r="C69" i="2"/>
  <c r="M68" i="2" l="1"/>
  <c r="N68" i="2"/>
  <c r="W62" i="4" s="1"/>
  <c r="E69" i="2"/>
  <c r="H69" i="2"/>
  <c r="J69" i="2"/>
  <c r="B70" i="2"/>
  <c r="G69" i="2"/>
  <c r="D69" i="2"/>
  <c r="F69" i="2" s="1"/>
  <c r="I69" i="2" l="1"/>
  <c r="A69" i="2"/>
  <c r="L69" i="2"/>
  <c r="K69" i="2" s="1"/>
  <c r="W70" i="2"/>
  <c r="J70" i="2" s="1"/>
  <c r="C70" i="2"/>
  <c r="M69" i="2" l="1"/>
  <c r="N69" i="2"/>
  <c r="W63" i="4" s="1"/>
  <c r="E70" i="2"/>
  <c r="H70" i="2"/>
  <c r="G70" i="2"/>
  <c r="B71" i="2"/>
  <c r="D70" i="2"/>
  <c r="F70" i="2" l="1"/>
  <c r="L70" i="2" s="1"/>
  <c r="K70" i="2" s="1"/>
  <c r="I70" i="2"/>
  <c r="C71" i="2"/>
  <c r="W71" i="2"/>
  <c r="A70" i="2" l="1"/>
  <c r="M70" i="2"/>
  <c r="N70" i="2"/>
  <c r="W64" i="4" s="1"/>
  <c r="J71" i="2"/>
  <c r="E71" i="2"/>
  <c r="H71" i="2"/>
  <c r="B72" i="2"/>
  <c r="G71" i="2"/>
  <c r="D71" i="2"/>
  <c r="F71" i="2" l="1"/>
  <c r="L71" i="2" s="1"/>
  <c r="K71" i="2" s="1"/>
  <c r="I71" i="2"/>
  <c r="C72" i="2"/>
  <c r="W72" i="2"/>
  <c r="N71" i="2" l="1"/>
  <c r="W65" i="4" s="1"/>
  <c r="A71" i="2"/>
  <c r="M71" i="2"/>
  <c r="J72" i="2"/>
  <c r="E72" i="2"/>
  <c r="H72" i="2"/>
  <c r="G72" i="2"/>
  <c r="D72" i="2"/>
  <c r="B73" i="2"/>
  <c r="F72" i="2" l="1"/>
  <c r="L72" i="2" s="1"/>
  <c r="K72" i="2" s="1"/>
  <c r="I72" i="2"/>
  <c r="W73" i="2"/>
  <c r="H73" i="2" s="1"/>
  <c r="C73" i="2"/>
  <c r="N72" i="2" l="1"/>
  <c r="W66" i="4" s="1"/>
  <c r="M72" i="2"/>
  <c r="A72" i="2"/>
  <c r="J73" i="2"/>
  <c r="E73" i="2"/>
  <c r="B74" i="2"/>
  <c r="D73" i="2"/>
  <c r="G73" i="2"/>
  <c r="I73" i="2" s="1"/>
  <c r="F73" i="2" l="1"/>
  <c r="A73" i="2" s="1"/>
  <c r="W74" i="2"/>
  <c r="J74" i="2" s="1"/>
  <c r="C74" i="2"/>
  <c r="N73" i="2" l="1"/>
  <c r="W67" i="4" s="1"/>
  <c r="M73" i="2"/>
  <c r="L73" i="2"/>
  <c r="K73" i="2" s="1"/>
  <c r="E74" i="2"/>
  <c r="H74" i="2"/>
  <c r="G74" i="2"/>
  <c r="D74" i="2"/>
  <c r="B75" i="2"/>
  <c r="F74" i="2" l="1"/>
  <c r="A74" i="2" s="1"/>
  <c r="I74" i="2"/>
  <c r="C75" i="2"/>
  <c r="W75" i="2"/>
  <c r="N74" i="2" l="1"/>
  <c r="W68" i="4" s="1"/>
  <c r="L74" i="2"/>
  <c r="K74" i="2" s="1"/>
  <c r="M74" i="2"/>
  <c r="E75" i="2"/>
  <c r="H75" i="2"/>
  <c r="J75" i="2"/>
  <c r="D75" i="2"/>
  <c r="G75" i="2"/>
  <c r="B76" i="2"/>
  <c r="F75" i="2" l="1"/>
  <c r="A75" i="2" s="1"/>
  <c r="I75" i="2"/>
  <c r="N75" i="2" s="1"/>
  <c r="W69" i="4" s="1"/>
  <c r="W76" i="2"/>
  <c r="E76" i="2" s="1"/>
  <c r="C76" i="2"/>
  <c r="M75" i="2" l="1"/>
  <c r="L75" i="2"/>
  <c r="K75" i="2" s="1"/>
  <c r="H76" i="2"/>
  <c r="J76" i="2"/>
  <c r="B77" i="2"/>
  <c r="G76" i="2"/>
  <c r="D76" i="2"/>
  <c r="F76" i="2" s="1"/>
  <c r="I76" i="2" l="1"/>
  <c r="L76" i="2"/>
  <c r="K76" i="2" s="1"/>
  <c r="A76" i="2"/>
  <c r="C77" i="2"/>
  <c r="W77" i="2"/>
  <c r="J77" i="2" s="1"/>
  <c r="M76" i="2" l="1"/>
  <c r="N76" i="2"/>
  <c r="W70" i="4" s="1"/>
  <c r="E77" i="2"/>
  <c r="H77" i="2"/>
  <c r="D77" i="2"/>
  <c r="B78" i="2"/>
  <c r="G77" i="2"/>
  <c r="F77" i="2" l="1"/>
  <c r="A77" i="2" s="1"/>
  <c r="I77" i="2"/>
  <c r="W78" i="2"/>
  <c r="J78" i="2" s="1"/>
  <c r="C78" i="2"/>
  <c r="L77" i="2" l="1"/>
  <c r="K77" i="2" s="1"/>
  <c r="M77" i="2"/>
  <c r="N77" i="2"/>
  <c r="W71" i="4" s="1"/>
  <c r="E78" i="2"/>
  <c r="H78" i="2"/>
  <c r="B79" i="2"/>
  <c r="G78" i="2"/>
  <c r="D78" i="2"/>
  <c r="F78" i="2" l="1"/>
  <c r="I78" i="2"/>
  <c r="N78" i="2" s="1"/>
  <c r="W72" i="4" s="1"/>
  <c r="A78" i="2"/>
  <c r="L78" i="2"/>
  <c r="K78" i="2" s="1"/>
  <c r="W79" i="2"/>
  <c r="E79" i="2" s="1"/>
  <c r="C79" i="2"/>
  <c r="M78" i="2" l="1"/>
  <c r="H79" i="2"/>
  <c r="J79" i="2"/>
  <c r="D79" i="2"/>
  <c r="F79" i="2" s="1"/>
  <c r="B80" i="2"/>
  <c r="G79" i="2"/>
  <c r="I79" i="2" s="1"/>
  <c r="N79" i="2" l="1"/>
  <c r="W73" i="4" s="1"/>
  <c r="L79" i="2"/>
  <c r="K79" i="2" s="1"/>
  <c r="A79" i="2"/>
  <c r="M79" i="2"/>
  <c r="W80" i="2"/>
  <c r="E80" i="2" s="1"/>
  <c r="C80" i="2"/>
  <c r="H80" i="2" l="1"/>
  <c r="J80" i="2"/>
  <c r="G80" i="2"/>
  <c r="B81" i="2"/>
  <c r="D80" i="2"/>
  <c r="F80" i="2" s="1"/>
  <c r="I80" i="2" l="1"/>
  <c r="N80" i="2" s="1"/>
  <c r="W74" i="4" s="1"/>
  <c r="L80" i="2"/>
  <c r="K80" i="2" s="1"/>
  <c r="A80" i="2"/>
  <c r="W81" i="2"/>
  <c r="C81" i="2"/>
  <c r="M80" i="2" l="1"/>
  <c r="E81" i="2"/>
  <c r="J81" i="2"/>
  <c r="H81" i="2"/>
  <c r="D81" i="2"/>
  <c r="B82" i="2"/>
  <c r="G81" i="2"/>
  <c r="I81" i="2" l="1"/>
  <c r="F81" i="2"/>
  <c r="L81" i="2" s="1"/>
  <c r="K81" i="2" s="1"/>
  <c r="W82" i="2"/>
  <c r="H82" i="2" s="1"/>
  <c r="C82" i="2"/>
  <c r="N81" i="2" l="1"/>
  <c r="W75" i="4" s="1"/>
  <c r="A81" i="2"/>
  <c r="M81" i="2"/>
  <c r="J82" i="2"/>
  <c r="E82" i="2"/>
  <c r="B83" i="2"/>
  <c r="G82" i="2"/>
  <c r="I82" i="2" s="1"/>
  <c r="D82" i="2"/>
  <c r="F82" i="2" l="1"/>
  <c r="A82" i="2" s="1"/>
  <c r="W83" i="2"/>
  <c r="C83" i="2"/>
  <c r="N82" i="2" l="1"/>
  <c r="W76" i="4" s="1"/>
  <c r="M82" i="2"/>
  <c r="L82" i="2"/>
  <c r="K82" i="2" s="1"/>
  <c r="H83" i="2"/>
  <c r="E83" i="2"/>
  <c r="J83" i="2"/>
  <c r="B84" i="2"/>
  <c r="D83" i="2"/>
  <c r="G83" i="2"/>
  <c r="I83" i="2" l="1"/>
  <c r="F83" i="2"/>
  <c r="L83" i="2" s="1"/>
  <c r="K83" i="2" s="1"/>
  <c r="C84" i="2"/>
  <c r="W84" i="2"/>
  <c r="E84" i="2" s="1"/>
  <c r="N83" i="2" l="1"/>
  <c r="W77" i="4" s="1"/>
  <c r="A83" i="2"/>
  <c r="M83" i="2"/>
  <c r="J84" i="2"/>
  <c r="H84" i="2"/>
  <c r="G84" i="2"/>
  <c r="D84" i="2"/>
  <c r="F84" i="2" s="1"/>
  <c r="B85" i="2"/>
  <c r="I84" i="2" l="1"/>
  <c r="N84" i="2" s="1"/>
  <c r="W78" i="4" s="1"/>
  <c r="L84" i="2"/>
  <c r="K84" i="2" s="1"/>
  <c r="A84" i="2"/>
  <c r="C85" i="2"/>
  <c r="W85" i="2"/>
  <c r="M84" i="2" l="1"/>
  <c r="H85" i="2"/>
  <c r="E85" i="2"/>
  <c r="J85" i="2"/>
  <c r="G85" i="2"/>
  <c r="D85" i="2"/>
  <c r="B86" i="2"/>
  <c r="I85" i="2" l="1"/>
  <c r="F85" i="2"/>
  <c r="C86" i="2"/>
  <c r="W86" i="2"/>
  <c r="M85" i="2" l="1"/>
  <c r="N85" i="2"/>
  <c r="W79" i="4" s="1"/>
  <c r="L85" i="2"/>
  <c r="K85" i="2" s="1"/>
  <c r="A85" i="2"/>
  <c r="H86" i="2"/>
  <c r="J86" i="2"/>
  <c r="E86" i="2"/>
  <c r="B87" i="2"/>
  <c r="D86" i="2"/>
  <c r="G86" i="2"/>
  <c r="I86" i="2" l="1"/>
  <c r="F86" i="2"/>
  <c r="C87" i="2"/>
  <c r="W87" i="2"/>
  <c r="N86" i="2" l="1"/>
  <c r="W80" i="4" s="1"/>
  <c r="L86" i="2"/>
  <c r="K86" i="2" s="1"/>
  <c r="M86" i="2"/>
  <c r="A86" i="2"/>
  <c r="E87" i="2"/>
  <c r="H87" i="2"/>
  <c r="J87" i="2"/>
  <c r="D87" i="2"/>
  <c r="G87" i="2"/>
  <c r="B88" i="2"/>
  <c r="I87" i="2" l="1"/>
  <c r="F87" i="2"/>
  <c r="L87" i="2" s="1"/>
  <c r="K87" i="2" s="1"/>
  <c r="C88" i="2"/>
  <c r="W88" i="2"/>
  <c r="N87" i="2" l="1"/>
  <c r="W81" i="4" s="1"/>
  <c r="M87" i="2"/>
  <c r="A87" i="2"/>
  <c r="J88" i="2"/>
  <c r="H88" i="2"/>
  <c r="E88" i="2"/>
  <c r="D88" i="2"/>
  <c r="B89" i="2"/>
  <c r="G88" i="2"/>
  <c r="I88" i="2" s="1"/>
  <c r="F88" i="2" l="1"/>
  <c r="M88" i="2" s="1"/>
  <c r="W89" i="2"/>
  <c r="E89" i="2" s="1"/>
  <c r="C89" i="2"/>
  <c r="N88" i="2" l="1"/>
  <c r="W82" i="4" s="1"/>
  <c r="A88" i="2"/>
  <c r="L88" i="2"/>
  <c r="K88" i="2" s="1"/>
  <c r="J89" i="2"/>
  <c r="H89" i="2"/>
  <c r="G89" i="2"/>
  <c r="D89" i="2"/>
  <c r="F89" i="2" s="1"/>
  <c r="B90" i="2"/>
  <c r="I89" i="2" l="1"/>
  <c r="N89" i="2" s="1"/>
  <c r="W83" i="4" s="1"/>
  <c r="L89" i="2"/>
  <c r="K89" i="2" s="1"/>
  <c r="A89" i="2"/>
  <c r="M89" i="2"/>
  <c r="W90" i="2"/>
  <c r="J90" i="2" s="1"/>
  <c r="C90" i="2"/>
  <c r="H90" i="2" l="1"/>
  <c r="E90" i="2"/>
  <c r="D90" i="2"/>
  <c r="B91" i="2"/>
  <c r="G90" i="2"/>
  <c r="I90" i="2" s="1"/>
  <c r="F90" i="2" l="1"/>
  <c r="A90" i="2" s="1"/>
  <c r="C91" i="2"/>
  <c r="W91" i="2"/>
  <c r="E91" i="2" s="1"/>
  <c r="N90" i="2" l="1"/>
  <c r="W84" i="4" s="1"/>
  <c r="L90" i="2"/>
  <c r="K90" i="2" s="1"/>
  <c r="M90" i="2"/>
  <c r="H91" i="2"/>
  <c r="J91" i="2"/>
  <c r="G91" i="2"/>
  <c r="D91" i="2"/>
  <c r="F91" i="2" s="1"/>
  <c r="B92" i="2"/>
  <c r="L91" i="2" l="1"/>
  <c r="K91" i="2" s="1"/>
  <c r="I91" i="2"/>
  <c r="A91" i="2"/>
  <c r="C92" i="2"/>
  <c r="W92" i="2"/>
  <c r="J92" i="2" s="1"/>
  <c r="M91" i="2" l="1"/>
  <c r="N91" i="2"/>
  <c r="W85" i="4" s="1"/>
  <c r="H92" i="2"/>
  <c r="E92" i="2"/>
  <c r="G92" i="2"/>
  <c r="D92" i="2"/>
  <c r="B93" i="2"/>
  <c r="I92" i="2" l="1"/>
  <c r="F92" i="2"/>
  <c r="A92" i="2" s="1"/>
  <c r="C93" i="2"/>
  <c r="W93" i="2"/>
  <c r="N92" i="2" l="1"/>
  <c r="W86" i="4" s="1"/>
  <c r="L92" i="2"/>
  <c r="K92" i="2" s="1"/>
  <c r="M92" i="2"/>
  <c r="H93" i="2"/>
  <c r="J93" i="2"/>
  <c r="E93" i="2"/>
  <c r="B94" i="2"/>
  <c r="G93" i="2"/>
  <c r="D93" i="2"/>
  <c r="I93" i="2" l="1"/>
  <c r="F93" i="2"/>
  <c r="L93" i="2" s="1"/>
  <c r="K93" i="2" s="1"/>
  <c r="W94" i="2"/>
  <c r="J94" i="2" s="1"/>
  <c r="C94" i="2"/>
  <c r="N93" i="2" l="1"/>
  <c r="W87" i="4" s="1"/>
  <c r="M93" i="2"/>
  <c r="A93" i="2"/>
  <c r="E94" i="2"/>
  <c r="H94" i="2"/>
  <c r="G94" i="2"/>
  <c r="I94" i="2" s="1"/>
  <c r="D94" i="2"/>
  <c r="B95" i="2"/>
  <c r="F94" i="2" l="1"/>
  <c r="A94" i="2" s="1"/>
  <c r="W95" i="2"/>
  <c r="C95" i="2"/>
  <c r="N94" i="2" l="1"/>
  <c r="W88" i="4" s="1"/>
  <c r="M94" i="2"/>
  <c r="L94" i="2"/>
  <c r="K94" i="2" s="1"/>
  <c r="J95" i="2"/>
  <c r="H95" i="2"/>
  <c r="E95" i="2"/>
  <c r="B96" i="2"/>
  <c r="G95" i="2"/>
  <c r="D95" i="2"/>
  <c r="F95" i="2" l="1"/>
  <c r="A95" i="2" s="1"/>
  <c r="I95" i="2"/>
  <c r="W96" i="2"/>
  <c r="H96" i="2" s="1"/>
  <c r="C96" i="2"/>
  <c r="L95" i="2" l="1"/>
  <c r="K95" i="2" s="1"/>
  <c r="N95" i="2"/>
  <c r="W89" i="4" s="1"/>
  <c r="M95" i="2"/>
  <c r="J96" i="2"/>
  <c r="E96" i="2"/>
  <c r="G96" i="2"/>
  <c r="I96" i="2" s="1"/>
  <c r="D96" i="2"/>
  <c r="B97" i="2"/>
  <c r="F96" i="2" l="1"/>
  <c r="L96" i="2" s="1"/>
  <c r="K96" i="2" s="1"/>
  <c r="W97" i="2"/>
  <c r="H97" i="2" s="1"/>
  <c r="C97" i="2"/>
  <c r="M96" i="2" l="1"/>
  <c r="A96" i="2"/>
  <c r="N96" i="2"/>
  <c r="W90" i="4" s="1"/>
  <c r="J97" i="2"/>
  <c r="E97" i="2"/>
  <c r="G97" i="2"/>
  <c r="B98" i="2"/>
  <c r="D97" i="2"/>
  <c r="I97" i="2" l="1"/>
  <c r="M29" i="4"/>
  <c r="S29" i="4" s="1"/>
  <c r="F97" i="2"/>
  <c r="L97" i="2" s="1"/>
  <c r="K97" i="2" s="1"/>
  <c r="W98" i="2"/>
  <c r="E98" i="2" s="1"/>
  <c r="C98" i="2"/>
  <c r="A97" i="2" l="1"/>
  <c r="M97" i="2"/>
  <c r="N97" i="2"/>
  <c r="W91" i="4" s="1"/>
  <c r="H98" i="2"/>
  <c r="J98" i="2"/>
  <c r="G98" i="2"/>
  <c r="D98" i="2"/>
  <c r="F98" i="2" s="1"/>
  <c r="B99" i="2"/>
  <c r="I98" i="2" l="1"/>
  <c r="M98" i="2" s="1"/>
  <c r="A98" i="2"/>
  <c r="L98" i="2"/>
  <c r="K98" i="2" s="1"/>
  <c r="W99" i="2"/>
  <c r="J99" i="2" s="1"/>
  <c r="C99" i="2"/>
  <c r="N98" i="2" l="1"/>
  <c r="W92" i="4" s="1"/>
  <c r="H99" i="2"/>
  <c r="E99" i="2"/>
  <c r="G99" i="2"/>
  <c r="I99" i="2" s="1"/>
  <c r="D99" i="2"/>
  <c r="B100" i="2"/>
  <c r="F99" i="2" l="1"/>
  <c r="L99" i="2" s="1"/>
  <c r="K99" i="2" s="1"/>
  <c r="C100" i="2"/>
  <c r="W100" i="2"/>
  <c r="H100" i="2" s="1"/>
  <c r="A99" i="2" l="1"/>
  <c r="M99" i="2"/>
  <c r="N99" i="2"/>
  <c r="W93" i="4" s="1"/>
  <c r="J100" i="2"/>
  <c r="E100" i="2"/>
  <c r="D100" i="2"/>
  <c r="F100" i="2" s="1"/>
  <c r="B101" i="2"/>
  <c r="G100" i="2"/>
  <c r="I100" i="2" s="1"/>
  <c r="A100" i="2" l="1"/>
  <c r="L100" i="2"/>
  <c r="K100" i="2" s="1"/>
  <c r="M100" i="2"/>
  <c r="N100" i="2"/>
  <c r="W94" i="4" s="1"/>
  <c r="W101" i="2"/>
  <c r="E101" i="2" s="1"/>
  <c r="C101" i="2"/>
  <c r="J101" i="2" l="1"/>
  <c r="H101" i="2"/>
  <c r="G101" i="2"/>
  <c r="B102" i="2"/>
  <c r="D101" i="2"/>
  <c r="F101" i="2"/>
  <c r="A101" i="2" s="1"/>
  <c r="L101" i="2" l="1"/>
  <c r="K101" i="2" s="1"/>
  <c r="I101" i="2"/>
  <c r="W102" i="2"/>
  <c r="E102" i="2" s="1"/>
  <c r="C102" i="2"/>
  <c r="J102" i="2" l="1"/>
  <c r="N101" i="2"/>
  <c r="W95" i="4" s="1"/>
  <c r="M101" i="2"/>
  <c r="H102" i="2"/>
  <c r="D102" i="2"/>
  <c r="F102" i="2" s="1"/>
  <c r="B103" i="2"/>
  <c r="G102" i="2"/>
  <c r="I102" i="2" s="1"/>
  <c r="L102" i="2" l="1"/>
  <c r="K102" i="2" s="1"/>
  <c r="A102" i="2"/>
  <c r="N102" i="2"/>
  <c r="W96" i="4" s="1"/>
  <c r="M102" i="2"/>
  <c r="C103" i="2"/>
  <c r="W103" i="2"/>
  <c r="E103" i="2" l="1"/>
  <c r="J103" i="2"/>
  <c r="H103" i="2"/>
  <c r="B104" i="2"/>
  <c r="G103" i="2"/>
  <c r="D103" i="2"/>
  <c r="F103" i="2" s="1"/>
  <c r="I103" i="2" l="1"/>
  <c r="M103" i="2" s="1"/>
  <c r="A103" i="2"/>
  <c r="L103" i="2"/>
  <c r="K103" i="2" s="1"/>
  <c r="W104" i="2"/>
  <c r="H104" i="2" s="1"/>
  <c r="C104" i="2"/>
  <c r="N103" i="2" l="1"/>
  <c r="W97" i="4" s="1"/>
  <c r="J104" i="2"/>
  <c r="E104" i="2"/>
  <c r="G104" i="2"/>
  <c r="I104" i="2" s="1"/>
  <c r="D104" i="2"/>
  <c r="B105" i="2"/>
  <c r="F104" i="2" l="1"/>
  <c r="L104" i="2" s="1"/>
  <c r="K104" i="2" s="1"/>
  <c r="C105" i="2"/>
  <c r="W105" i="2"/>
  <c r="N104" i="2" l="1"/>
  <c r="W98" i="4" s="1"/>
  <c r="M104" i="2"/>
  <c r="A104" i="2"/>
  <c r="H105" i="2"/>
  <c r="E105" i="2"/>
  <c r="J105" i="2"/>
  <c r="B106" i="2"/>
  <c r="D105" i="2"/>
  <c r="G105" i="2"/>
  <c r="F105" i="2" l="1"/>
  <c r="I105" i="2"/>
  <c r="M105" i="2" s="1"/>
  <c r="L105" i="2"/>
  <c r="K105" i="2" s="1"/>
  <c r="A105" i="2"/>
  <c r="C106" i="2"/>
  <c r="W106" i="2"/>
  <c r="N105" i="2" l="1"/>
  <c r="W99" i="4" s="1"/>
  <c r="H106" i="2"/>
  <c r="J106" i="2"/>
  <c r="E106" i="2"/>
  <c r="B107" i="2"/>
  <c r="G106" i="2"/>
  <c r="I106" i="2" s="1"/>
  <c r="P29" i="4" s="1"/>
  <c r="S27" i="4" s="1"/>
  <c r="D106" i="2"/>
  <c r="F106" i="2" s="1"/>
  <c r="L106" i="2" s="1"/>
  <c r="K106" i="2" s="1"/>
  <c r="N106" i="2" l="1"/>
  <c r="W100" i="4" s="1"/>
  <c r="A106" i="2"/>
  <c r="M106" i="2"/>
  <c r="C107" i="2"/>
  <c r="W107" i="2"/>
  <c r="E107" i="2" s="1"/>
  <c r="H107" i="2" l="1"/>
  <c r="J107" i="2"/>
  <c r="D107" i="2"/>
  <c r="F107" i="2" s="1"/>
  <c r="A107" i="2" s="1"/>
  <c r="B108" i="2"/>
  <c r="G107" i="2"/>
  <c r="I107" i="2" s="1"/>
  <c r="N107" i="2" l="1"/>
  <c r="W101" i="4" s="1"/>
  <c r="M107" i="2"/>
  <c r="L107" i="2"/>
  <c r="K107" i="2" s="1"/>
  <c r="W108" i="2"/>
  <c r="C108" i="2"/>
  <c r="H108" i="2" l="1"/>
  <c r="E108" i="2"/>
  <c r="J108" i="2"/>
  <c r="G108" i="2"/>
  <c r="I108" i="2" s="1"/>
  <c r="N108" i="2" s="1"/>
  <c r="W102" i="4" s="1"/>
  <c r="D108" i="2"/>
  <c r="B109" i="2"/>
  <c r="F108" i="2"/>
  <c r="L108" i="2" s="1"/>
  <c r="K108" i="2" s="1"/>
  <c r="M108" i="2" l="1"/>
  <c r="A108" i="2"/>
  <c r="C109" i="2"/>
  <c r="W109" i="2"/>
  <c r="J109" i="2" s="1"/>
  <c r="H109" i="2" l="1"/>
  <c r="E109" i="2"/>
  <c r="F109" i="2" s="1"/>
  <c r="L109" i="2" s="1"/>
  <c r="K109" i="2" s="1"/>
  <c r="B110" i="2"/>
  <c r="G109" i="2"/>
  <c r="I109" i="2" s="1"/>
  <c r="D109" i="2"/>
  <c r="M109" i="2" l="1"/>
  <c r="N109" i="2"/>
  <c r="W103" i="4" s="1"/>
  <c r="E110" i="2"/>
  <c r="A109" i="2"/>
  <c r="W110" i="2"/>
  <c r="C110" i="2"/>
  <c r="J110" i="2" l="1"/>
  <c r="H110" i="2"/>
  <c r="B111" i="2"/>
  <c r="G110" i="2"/>
  <c r="I110" i="2" s="1"/>
  <c r="M110" i="2" s="1"/>
  <c r="D110" i="2"/>
  <c r="F110" i="2"/>
  <c r="L110" i="2" s="1"/>
  <c r="K110" i="2" s="1"/>
  <c r="N110" i="2" l="1"/>
  <c r="W104" i="4" s="1"/>
  <c r="A110" i="2"/>
  <c r="C111" i="2"/>
  <c r="W111" i="2"/>
  <c r="H111" i="2" s="1"/>
  <c r="J111" i="2" l="1"/>
  <c r="E111" i="2"/>
  <c r="D111" i="2"/>
  <c r="B112" i="2"/>
  <c r="G111" i="2"/>
  <c r="I111" i="2" s="1"/>
  <c r="F111" i="2" l="1"/>
  <c r="A111" i="2" s="1"/>
  <c r="L111" i="2"/>
  <c r="K111" i="2" s="1"/>
  <c r="M111" i="2"/>
  <c r="N111" i="2"/>
  <c r="C112" i="2"/>
  <c r="W112" i="2"/>
  <c r="J112" i="2" l="1"/>
  <c r="H112" i="2"/>
  <c r="E112" i="2"/>
  <c r="F112" i="2" s="1"/>
  <c r="L112" i="2" s="1"/>
  <c r="K112" i="2" s="1"/>
  <c r="G112" i="2"/>
  <c r="I112" i="2" s="1"/>
  <c r="B113" i="2"/>
  <c r="D112" i="2"/>
  <c r="N112" i="2" l="1"/>
  <c r="M112" i="2"/>
  <c r="A112" i="2"/>
  <c r="C113" i="2"/>
  <c r="W113" i="2"/>
  <c r="J113" i="2" s="1"/>
  <c r="E113" i="2" l="1"/>
  <c r="H113" i="2"/>
  <c r="G113" i="2"/>
  <c r="I113" i="2" s="1"/>
  <c r="D113" i="2"/>
  <c r="F113" i="2" s="1"/>
  <c r="B114" i="2"/>
  <c r="L113" i="2" l="1"/>
  <c r="K113" i="2" s="1"/>
  <c r="A113" i="2"/>
  <c r="N113" i="2"/>
  <c r="M113" i="2"/>
  <c r="C114" i="2"/>
  <c r="W114" i="2"/>
  <c r="E114" i="2" l="1"/>
  <c r="J114" i="2"/>
  <c r="H114" i="2"/>
  <c r="G114" i="2"/>
  <c r="I114" i="2" s="1"/>
  <c r="N114" i="2" s="1"/>
  <c r="D114" i="2"/>
  <c r="F114" i="2"/>
  <c r="L114" i="2" s="1"/>
  <c r="K114" i="2" l="1"/>
  <c r="L5" i="2"/>
  <c r="L6" i="2" s="1"/>
  <c r="K5" i="2"/>
  <c r="K6" i="2" s="1"/>
  <c r="A114" i="2"/>
  <c r="M114" i="2"/>
  <c r="N6" i="2" l="1"/>
</calcChain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condensatore variabile circuito selettore
</t>
        </r>
      </text>
    </comment>
    <comment ref="C8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condensatore variabile circuito generatore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Capacità effettiva</t>
        </r>
      </text>
    </comment>
    <comment ref="H8" authorId="0">
      <text>
        <r>
          <rPr>
            <sz val="10"/>
            <rFont val="Arial"/>
            <family val="2"/>
          </rPr>
          <t xml:space="preserve">Induttanza circuito generatore
</t>
        </r>
      </text>
    </comment>
    <comment ref="I8" authorId="0">
      <text>
        <r>
          <rPr>
            <sz val="10"/>
            <rFont val="Arial"/>
            <family val="2"/>
          </rPr>
          <t xml:space="preserve">Frequenza effettiva
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capacità che dovrei avere</t>
        </r>
      </text>
    </comment>
    <comment ref="L8" authorId="0">
      <text>
        <r>
          <rPr>
            <sz val="10"/>
            <rFont val="Arial"/>
            <family val="2"/>
          </rPr>
          <t>Frequenza teorica</t>
        </r>
      </text>
    </comment>
    <comment ref="M8" authorId="0">
      <text>
        <r>
          <rPr>
            <sz val="10"/>
            <rFont val="Arial"/>
            <family val="2"/>
          </rPr>
          <t>Media frequenza effettiva</t>
        </r>
      </text>
    </comment>
  </commentList>
</comments>
</file>

<file path=xl/comments2.xml><?xml version="1.0" encoding="utf-8"?>
<comments xmlns="http://schemas.openxmlformats.org/spreadsheetml/2006/main">
  <authors>
    <author>Luciano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Capacità minima del variabile prima dell'eventuale inserimento del condensatore in serie
(CAP.MINIMA DI FABBRICA)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Capacità massima del variabile prima dell'eventuale inserimento del condensatore in serie
(CAP.MAX DI FABBRICA)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capacità del condensatore fisso inserito eventualmente  in serie sia nel circuito del selettore che in quello dell'oscillatore locale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capacità minima del variabile dopo l'inserimento di un condensatore fisso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valore della capacità massima del variabile dopo l'inserimento in serie di un condensatore fisso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escursione del variabile dopo l'inserimento in serie di una capacità fissa</t>
        </r>
      </text>
    </comment>
  </commentList>
</comments>
</file>

<file path=xl/sharedStrings.xml><?xml version="1.0" encoding="utf-8"?>
<sst xmlns="http://schemas.openxmlformats.org/spreadsheetml/2006/main" count="206" uniqueCount="118">
  <si>
    <t>NORMALE</t>
  </si>
  <si>
    <t>fi=</t>
  </si>
  <si>
    <t>fmin=</t>
  </si>
  <si>
    <t>fmax=</t>
  </si>
  <si>
    <t>Cmin=</t>
  </si>
  <si>
    <t>Cmax=</t>
  </si>
  <si>
    <t>n=fmax/fmin=</t>
  </si>
  <si>
    <t>Cp1=</t>
  </si>
  <si>
    <t>pF</t>
  </si>
  <si>
    <t>Cp2=</t>
  </si>
  <si>
    <t>Cs=</t>
  </si>
  <si>
    <t xml:space="preserve"> </t>
  </si>
  <si>
    <t>L1=</t>
  </si>
  <si>
    <r>
      <t>m</t>
    </r>
    <r>
      <rPr>
        <sz val="10"/>
        <color indexed="20"/>
        <rFont val="Arial"/>
        <family val="2"/>
      </rPr>
      <t>H</t>
    </r>
  </si>
  <si>
    <t>L2=</t>
  </si>
  <si>
    <t>f1=</t>
  </si>
  <si>
    <t>Hz</t>
  </si>
  <si>
    <t>f2=</t>
  </si>
  <si>
    <t>f3=</t>
  </si>
  <si>
    <t>C1=</t>
  </si>
  <si>
    <t>C2=</t>
  </si>
  <si>
    <t>C3=</t>
  </si>
  <si>
    <t>M=</t>
  </si>
  <si>
    <t>N=</t>
  </si>
  <si>
    <t>P=</t>
  </si>
  <si>
    <t>(f22/f12)-1=</t>
  </si>
  <si>
    <t>f32-f12=</t>
  </si>
  <si>
    <t>f32-f22=</t>
  </si>
  <si>
    <t>f32xf22/f12</t>
  </si>
  <si>
    <t>CIRCUITO SELETTORE</t>
  </si>
  <si>
    <t>CIRCUITO GENERATORE</t>
  </si>
  <si>
    <t>Cs1</t>
  </si>
  <si>
    <t>Cs2</t>
  </si>
  <si>
    <r>
      <t>f</t>
    </r>
    <r>
      <rPr>
        <b/>
        <vertAlign val="subscript"/>
        <sz val="16"/>
        <rFont val="Arial"/>
        <family val="2"/>
      </rPr>
      <t>a</t>
    </r>
    <r>
      <rPr>
        <b/>
        <sz val="12"/>
        <rFont val="Arial"/>
        <family val="2"/>
      </rPr>
      <t>min</t>
    </r>
  </si>
  <si>
    <r>
      <t>f</t>
    </r>
    <r>
      <rPr>
        <b/>
        <vertAlign val="subscript"/>
        <sz val="16"/>
        <rFont val="Arial"/>
        <family val="2"/>
      </rPr>
      <t>a</t>
    </r>
    <r>
      <rPr>
        <b/>
        <sz val="12"/>
        <rFont val="Arial"/>
        <family val="2"/>
      </rPr>
      <t>max</t>
    </r>
  </si>
  <si>
    <r>
      <t>C</t>
    </r>
    <r>
      <rPr>
        <b/>
        <sz val="12"/>
        <rFont val="Arial"/>
        <family val="2"/>
      </rPr>
      <t>min</t>
    </r>
  </si>
  <si>
    <r>
      <t>C</t>
    </r>
    <r>
      <rPr>
        <b/>
        <sz val="12"/>
        <rFont val="Arial"/>
        <family val="2"/>
      </rPr>
      <t>max</t>
    </r>
  </si>
  <si>
    <r>
      <t>f</t>
    </r>
    <r>
      <rPr>
        <b/>
        <sz val="12"/>
        <rFont val="Arial"/>
        <family val="2"/>
      </rPr>
      <t>i</t>
    </r>
  </si>
  <si>
    <t>Cp1</t>
  </si>
  <si>
    <t>Cp2</t>
  </si>
  <si>
    <t>Mhz</t>
  </si>
  <si>
    <t>Cp3</t>
  </si>
  <si>
    <t>Ca</t>
  </si>
  <si>
    <t>L1</t>
  </si>
  <si>
    <t>fa</t>
  </si>
  <si>
    <t xml:space="preserve">Co </t>
  </si>
  <si>
    <t>L2</t>
  </si>
  <si>
    <t>fo</t>
  </si>
  <si>
    <t>mt</t>
  </si>
  <si>
    <t>pf</t>
  </si>
  <si>
    <r>
      <t>D</t>
    </r>
    <r>
      <rPr>
        <b/>
        <sz val="16"/>
        <color indexed="12"/>
        <rFont val="Arial"/>
        <family val="2"/>
        <charset val="1"/>
      </rPr>
      <t>f/f</t>
    </r>
  </si>
  <si>
    <r>
      <t>m</t>
    </r>
    <r>
      <rPr>
        <sz val="10"/>
        <rFont val="Arial"/>
        <family val="2"/>
      </rPr>
      <t>H</t>
    </r>
  </si>
  <si>
    <r>
      <rPr>
        <b/>
        <sz val="12"/>
        <rFont val="Symbol"/>
        <family val="1"/>
        <charset val="2"/>
      </rPr>
      <t>l</t>
    </r>
    <r>
      <rPr>
        <b/>
        <sz val="10"/>
        <rFont val="Arial"/>
        <family val="2"/>
      </rPr>
      <t>min</t>
    </r>
  </si>
  <si>
    <r>
      <rPr>
        <b/>
        <sz val="12"/>
        <rFont val="Symbol"/>
        <family val="1"/>
        <charset val="2"/>
      </rPr>
      <t>l</t>
    </r>
    <r>
      <rPr>
        <b/>
        <sz val="10"/>
        <rFont val="Arial"/>
        <family val="2"/>
      </rPr>
      <t>max</t>
    </r>
  </si>
  <si>
    <t>fi</t>
  </si>
  <si>
    <t>mH</t>
  </si>
  <si>
    <t xml:space="preserve">INPUT </t>
  </si>
  <si>
    <t>:</t>
  </si>
  <si>
    <t>Cr =</t>
  </si>
  <si>
    <r>
      <rPr>
        <sz val="20"/>
        <color theme="1"/>
        <rFont val="Symbol"/>
        <family val="1"/>
        <charset val="2"/>
      </rPr>
      <t>D</t>
    </r>
    <r>
      <rPr>
        <sz val="20"/>
        <color theme="1"/>
        <rFont val="Calibri"/>
        <family val="2"/>
        <scheme val="minor"/>
      </rPr>
      <t>c =</t>
    </r>
  </si>
  <si>
    <t>fm=</t>
  </si>
  <si>
    <t>fM=</t>
  </si>
  <si>
    <t>OUTPUT</t>
  </si>
  <si>
    <r>
      <t>C</t>
    </r>
    <r>
      <rPr>
        <sz val="18"/>
        <color theme="1"/>
        <rFont val="Calibri"/>
        <family val="2"/>
        <scheme val="minor"/>
      </rPr>
      <t>o</t>
    </r>
    <r>
      <rPr>
        <sz val="20"/>
        <color theme="1"/>
        <rFont val="Calibri"/>
        <family val="2"/>
        <scheme val="minor"/>
      </rPr>
      <t>=</t>
    </r>
  </si>
  <si>
    <r>
      <t>C</t>
    </r>
    <r>
      <rPr>
        <sz val="14"/>
        <color theme="1"/>
        <rFont val="Calibri"/>
        <family val="2"/>
        <scheme val="minor"/>
      </rPr>
      <t>m</t>
    </r>
    <r>
      <rPr>
        <sz val="20"/>
        <color theme="1"/>
        <rFont val="Calibri"/>
        <family val="2"/>
        <scheme val="minor"/>
      </rPr>
      <t>=</t>
    </r>
  </si>
  <si>
    <r>
      <t>C</t>
    </r>
    <r>
      <rPr>
        <sz val="14"/>
        <color theme="1"/>
        <rFont val="Calibri"/>
        <family val="2"/>
        <scheme val="minor"/>
      </rPr>
      <t xml:space="preserve">M </t>
    </r>
    <r>
      <rPr>
        <sz val="20"/>
        <color theme="1"/>
        <rFont val="Calibri"/>
        <family val="2"/>
        <scheme val="minor"/>
      </rPr>
      <t>=</t>
    </r>
  </si>
  <si>
    <t>L=</t>
  </si>
  <si>
    <r>
      <rPr>
        <sz val="20"/>
        <rFont val="Symbol"/>
        <family val="1"/>
        <charset val="2"/>
      </rPr>
      <t>m</t>
    </r>
    <r>
      <rPr>
        <sz val="20"/>
        <rFont val="Arial"/>
        <family val="2"/>
      </rPr>
      <t>H</t>
    </r>
  </si>
  <si>
    <t>Mf=</t>
  </si>
  <si>
    <t>MHz</t>
  </si>
  <si>
    <t>INDUTTANDA CIRCUITO SELETTORE</t>
  </si>
  <si>
    <t>INDUTTANZA CIRCUITO OSCILLATORE LOCALE</t>
  </si>
  <si>
    <t>Valore calcolato per fm e CM</t>
  </si>
  <si>
    <t>Valore calcolato per fM e Cm</t>
  </si>
  <si>
    <r>
      <rPr>
        <sz val="20"/>
        <rFont val="Arial"/>
        <family val="2"/>
      </rPr>
      <t>C</t>
    </r>
    <r>
      <rPr>
        <sz val="10"/>
        <rFont val="Arial"/>
        <family val="2"/>
      </rPr>
      <t>CS CAPACITA' EVENTUALE CONDENSATORE FISSO IN SERIE</t>
    </r>
  </si>
  <si>
    <r>
      <rPr>
        <sz val="20"/>
        <rFont val="Arial"/>
        <family val="2"/>
      </rPr>
      <t>C</t>
    </r>
    <r>
      <rPr>
        <sz val="10"/>
        <rFont val="Arial"/>
        <family val="2"/>
      </rPr>
      <t>m   CAPACITA' MINIMA CON CONDENSATORE FISSO IN SERIE</t>
    </r>
  </si>
  <si>
    <r>
      <rPr>
        <sz val="20"/>
        <rFont val="Arial"/>
        <family val="2"/>
      </rPr>
      <t>C</t>
    </r>
    <r>
      <rPr>
        <sz val="10"/>
        <rFont val="Arial"/>
        <family val="2"/>
      </rPr>
      <t>M CAPACITA' MASSIMA CON CONDENSATORE FISSO IN SERIE</t>
    </r>
  </si>
  <si>
    <r>
      <rPr>
        <sz val="20"/>
        <rFont val="Symbol"/>
        <family val="1"/>
        <charset val="2"/>
      </rPr>
      <t>D</t>
    </r>
    <r>
      <rPr>
        <sz val="10"/>
        <rFont val="Arial"/>
        <family val="2"/>
      </rPr>
      <t>c  ESCURSIONE VARIABILE CON CONDENSATORE FISSO  IN SERIE</t>
    </r>
  </si>
  <si>
    <t>fm</t>
  </si>
  <si>
    <t>CMv=</t>
  </si>
  <si>
    <t>Cr</t>
  </si>
  <si>
    <t>fM</t>
  </si>
  <si>
    <t>Co</t>
  </si>
  <si>
    <r>
      <rPr>
        <sz val="14"/>
        <rFont val="Symbol"/>
        <family val="1"/>
        <charset val="2"/>
      </rPr>
      <t>D</t>
    </r>
    <r>
      <rPr>
        <sz val="14"/>
        <rFont val="Arial"/>
        <family val="2"/>
      </rPr>
      <t>c</t>
    </r>
  </si>
  <si>
    <t>valori di Cr e CMv con</t>
  </si>
  <si>
    <t>condensatore in serie</t>
  </si>
  <si>
    <t>INPUT</t>
  </si>
  <si>
    <r>
      <rPr>
        <sz val="16"/>
        <rFont val="Symbol"/>
        <family val="1"/>
        <charset val="2"/>
      </rPr>
      <t>m</t>
    </r>
    <r>
      <rPr>
        <sz val="16"/>
        <rFont val="Arial"/>
        <family val="2"/>
      </rPr>
      <t>H</t>
    </r>
  </si>
  <si>
    <t>valore di fabbrica</t>
  </si>
  <si>
    <t>PADDING</t>
  </si>
  <si>
    <t>ALLINEAMENTO SUPERETERODINA</t>
  </si>
  <si>
    <r>
      <t>C</t>
    </r>
    <r>
      <rPr>
        <vertAlign val="subscript"/>
        <sz val="16"/>
        <rFont val="Arial"/>
        <family val="2"/>
      </rPr>
      <t>smax</t>
    </r>
    <r>
      <rPr>
        <sz val="16"/>
        <rFont val="Arial"/>
        <family val="2"/>
      </rPr>
      <t>=</t>
    </r>
  </si>
  <si>
    <r>
      <t>C</t>
    </r>
    <r>
      <rPr>
        <vertAlign val="subscript"/>
        <sz val="16"/>
        <rFont val="Arial"/>
        <family val="2"/>
      </rPr>
      <t>smin</t>
    </r>
    <r>
      <rPr>
        <sz val="16"/>
        <rFont val="Arial"/>
        <family val="2"/>
      </rPr>
      <t>=</t>
    </r>
  </si>
  <si>
    <r>
      <t>C</t>
    </r>
    <r>
      <rPr>
        <vertAlign val="subscript"/>
        <sz val="16"/>
        <rFont val="Arial"/>
        <family val="2"/>
      </rPr>
      <t>gmax</t>
    </r>
    <r>
      <rPr>
        <sz val="16"/>
        <rFont val="Arial"/>
        <family val="2"/>
      </rPr>
      <t>=</t>
    </r>
  </si>
  <si>
    <r>
      <t>C</t>
    </r>
    <r>
      <rPr>
        <vertAlign val="subscript"/>
        <sz val="16"/>
        <rFont val="Arial"/>
        <family val="2"/>
      </rPr>
      <t>gmin</t>
    </r>
    <r>
      <rPr>
        <sz val="16"/>
        <rFont val="Arial"/>
        <family val="2"/>
      </rPr>
      <t>=</t>
    </r>
  </si>
  <si>
    <r>
      <t>f</t>
    </r>
    <r>
      <rPr>
        <vertAlign val="subscript"/>
        <sz val="16"/>
        <rFont val="Arial"/>
        <family val="2"/>
      </rPr>
      <t>smax</t>
    </r>
    <r>
      <rPr>
        <sz val="16"/>
        <rFont val="Arial"/>
        <family val="2"/>
      </rPr>
      <t>=</t>
    </r>
  </si>
  <si>
    <r>
      <t>f</t>
    </r>
    <r>
      <rPr>
        <vertAlign val="subscript"/>
        <sz val="16"/>
        <rFont val="Arial"/>
        <family val="2"/>
      </rPr>
      <t>smin</t>
    </r>
    <r>
      <rPr>
        <sz val="16"/>
        <rFont val="Arial"/>
        <family val="2"/>
      </rPr>
      <t>=</t>
    </r>
  </si>
  <si>
    <r>
      <t>C</t>
    </r>
    <r>
      <rPr>
        <vertAlign val="subscript"/>
        <sz val="16"/>
        <rFont val="Arial"/>
        <family val="2"/>
      </rPr>
      <t>smax</t>
    </r>
    <r>
      <rPr>
        <sz val="16"/>
        <rFont val="Arial"/>
        <family val="2"/>
      </rPr>
      <t>/C</t>
    </r>
    <r>
      <rPr>
        <vertAlign val="subscript"/>
        <sz val="16"/>
        <rFont val="Arial"/>
        <family val="2"/>
      </rPr>
      <t>smin</t>
    </r>
    <r>
      <rPr>
        <sz val="16"/>
        <rFont val="Arial"/>
        <family val="2"/>
      </rPr>
      <t>=</t>
    </r>
  </si>
  <si>
    <r>
      <t>f</t>
    </r>
    <r>
      <rPr>
        <vertAlign val="subscript"/>
        <sz val="16"/>
        <rFont val="Arial"/>
        <family val="2"/>
      </rPr>
      <t>gmax</t>
    </r>
    <r>
      <rPr>
        <sz val="16"/>
        <rFont val="Arial"/>
        <family val="2"/>
      </rPr>
      <t>=</t>
    </r>
  </si>
  <si>
    <r>
      <t>f</t>
    </r>
    <r>
      <rPr>
        <vertAlign val="subscript"/>
        <sz val="16"/>
        <rFont val="Arial"/>
        <family val="2"/>
      </rPr>
      <t>gmin</t>
    </r>
    <r>
      <rPr>
        <sz val="16"/>
        <rFont val="Arial"/>
        <family val="2"/>
      </rPr>
      <t>=</t>
    </r>
  </si>
  <si>
    <r>
      <t>C</t>
    </r>
    <r>
      <rPr>
        <vertAlign val="subscript"/>
        <sz val="16"/>
        <rFont val="Arial"/>
        <family val="2"/>
      </rPr>
      <t>gmax</t>
    </r>
    <r>
      <rPr>
        <sz val="16"/>
        <rFont val="Arial"/>
        <family val="2"/>
      </rPr>
      <t>/C</t>
    </r>
    <r>
      <rPr>
        <vertAlign val="subscript"/>
        <sz val="16"/>
        <rFont val="Arial"/>
        <family val="2"/>
      </rPr>
      <t>gmin</t>
    </r>
    <r>
      <rPr>
        <sz val="16"/>
        <rFont val="Arial"/>
        <family val="2"/>
      </rPr>
      <t>=</t>
    </r>
  </si>
  <si>
    <r>
      <t>C</t>
    </r>
    <r>
      <rPr>
        <vertAlign val="subscript"/>
        <sz val="16"/>
        <rFont val="Arial"/>
        <family val="2"/>
      </rPr>
      <t>ss</t>
    </r>
    <r>
      <rPr>
        <sz val="16"/>
        <rFont val="Arial"/>
        <family val="2"/>
      </rPr>
      <t>=</t>
    </r>
  </si>
  <si>
    <r>
      <t>C</t>
    </r>
    <r>
      <rPr>
        <vertAlign val="subscript"/>
        <sz val="16"/>
        <rFont val="Arial"/>
        <family val="2"/>
      </rPr>
      <t>sp</t>
    </r>
    <r>
      <rPr>
        <sz val="16"/>
        <rFont val="Arial"/>
        <family val="2"/>
      </rPr>
      <t>=</t>
    </r>
  </si>
  <si>
    <r>
      <t>C</t>
    </r>
    <r>
      <rPr>
        <vertAlign val="subscript"/>
        <sz val="16"/>
        <rFont val="Arial"/>
        <family val="2"/>
      </rPr>
      <t>gp</t>
    </r>
    <r>
      <rPr>
        <sz val="16"/>
        <rFont val="Arial"/>
        <family val="2"/>
      </rPr>
      <t>=</t>
    </r>
  </si>
  <si>
    <r>
      <t>C</t>
    </r>
    <r>
      <rPr>
        <vertAlign val="subscript"/>
        <sz val="16"/>
        <rFont val="Arial"/>
        <family val="2"/>
      </rPr>
      <t>p</t>
    </r>
    <r>
      <rPr>
        <sz val="16"/>
        <rFont val="Arial"/>
        <family val="2"/>
      </rPr>
      <t>=</t>
    </r>
  </si>
  <si>
    <r>
      <t>L</t>
    </r>
    <r>
      <rPr>
        <vertAlign val="subscript"/>
        <sz val="16"/>
        <rFont val="Arial"/>
        <family val="2"/>
      </rPr>
      <t>s</t>
    </r>
    <r>
      <rPr>
        <sz val="16"/>
        <rFont val="Arial"/>
        <family val="2"/>
      </rPr>
      <t>=</t>
    </r>
  </si>
  <si>
    <r>
      <t>L</t>
    </r>
    <r>
      <rPr>
        <vertAlign val="subscript"/>
        <sz val="16"/>
        <rFont val="Arial"/>
        <family val="2"/>
      </rPr>
      <t>g</t>
    </r>
    <r>
      <rPr>
        <sz val="16"/>
        <rFont val="Arial"/>
        <family val="2"/>
      </rPr>
      <t>=</t>
    </r>
  </si>
  <si>
    <r>
      <t>f</t>
    </r>
    <r>
      <rPr>
        <vertAlign val="subscript"/>
        <sz val="16"/>
        <rFont val="Arial"/>
        <family val="2"/>
      </rPr>
      <t>smax</t>
    </r>
    <r>
      <rPr>
        <sz val="16"/>
        <rFont val="Arial"/>
        <family val="2"/>
      </rPr>
      <t xml:space="preserve"> =</t>
    </r>
  </si>
  <si>
    <r>
      <t>f</t>
    </r>
    <r>
      <rPr>
        <vertAlign val="subscript"/>
        <sz val="16"/>
        <rFont val="Arial"/>
        <family val="2"/>
      </rPr>
      <t xml:space="preserve">smin </t>
    </r>
    <r>
      <rPr>
        <sz val="16"/>
        <rFont val="Arial"/>
        <family val="2"/>
      </rPr>
      <t>=</t>
    </r>
  </si>
  <si>
    <t>Fi =</t>
  </si>
  <si>
    <r>
      <t>C</t>
    </r>
    <r>
      <rPr>
        <vertAlign val="subscript"/>
        <sz val="16"/>
        <rFont val="Arial"/>
        <family val="2"/>
      </rPr>
      <t>maxF</t>
    </r>
    <r>
      <rPr>
        <sz val="16"/>
        <rFont val="Arial"/>
        <family val="2"/>
      </rPr>
      <t xml:space="preserve"> =</t>
    </r>
  </si>
  <si>
    <r>
      <t>C</t>
    </r>
    <r>
      <rPr>
        <vertAlign val="subscript"/>
        <sz val="16"/>
        <rFont val="Arial"/>
        <family val="2"/>
      </rPr>
      <t>minF</t>
    </r>
    <r>
      <rPr>
        <sz val="16"/>
        <rFont val="Arial"/>
        <family val="2"/>
      </rPr>
      <t xml:space="preserve"> =</t>
    </r>
  </si>
  <si>
    <r>
      <t>C</t>
    </r>
    <r>
      <rPr>
        <vertAlign val="subscript"/>
        <sz val="16"/>
        <rFont val="Arial"/>
        <family val="2"/>
      </rPr>
      <t>a</t>
    </r>
    <r>
      <rPr>
        <sz val="16"/>
        <rFont val="Arial"/>
        <family val="2"/>
      </rPr>
      <t xml:space="preserve"> =</t>
    </r>
  </si>
  <si>
    <r>
      <t>C</t>
    </r>
    <r>
      <rPr>
        <vertAlign val="subscript"/>
        <sz val="16"/>
        <color rgb="FFC00000"/>
        <rFont val="Arial"/>
        <family val="2"/>
      </rPr>
      <t>gs</t>
    </r>
    <r>
      <rPr>
        <sz val="16"/>
        <color rgb="FFC00000"/>
        <rFont val="Arial"/>
        <family val="2"/>
      </rPr>
      <t>=</t>
    </r>
  </si>
  <si>
    <r>
      <t>(f</t>
    </r>
    <r>
      <rPr>
        <vertAlign val="subscript"/>
        <sz val="16"/>
        <rFont val="Arial"/>
        <family val="2"/>
      </rPr>
      <t>smax</t>
    </r>
    <r>
      <rPr>
        <sz val="16"/>
        <rFont val="Arial"/>
        <family val="2"/>
      </rPr>
      <t>/f</t>
    </r>
    <r>
      <rPr>
        <vertAlign val="subscript"/>
        <sz val="16"/>
        <rFont val="Arial"/>
        <family val="2"/>
      </rPr>
      <t>smin</t>
    </r>
    <r>
      <rPr>
        <sz val="16"/>
        <rFont val="Arial"/>
        <family val="2"/>
      </rPr>
      <t>)</t>
    </r>
    <r>
      <rPr>
        <vertAlign val="superscript"/>
        <sz val="12"/>
        <rFont val="Arial"/>
        <family val="2"/>
      </rPr>
      <t>2</t>
    </r>
    <r>
      <rPr>
        <sz val="16"/>
        <rFont val="Arial"/>
        <family val="2"/>
      </rPr>
      <t>=</t>
    </r>
  </si>
  <si>
    <r>
      <t>(f</t>
    </r>
    <r>
      <rPr>
        <vertAlign val="subscript"/>
        <sz val="16"/>
        <rFont val="Arial"/>
        <family val="2"/>
      </rPr>
      <t>gmax</t>
    </r>
    <r>
      <rPr>
        <sz val="16"/>
        <rFont val="Arial"/>
        <family val="2"/>
      </rPr>
      <t>/f</t>
    </r>
    <r>
      <rPr>
        <vertAlign val="subscript"/>
        <sz val="16"/>
        <rFont val="Arial"/>
        <family val="2"/>
      </rPr>
      <t>gmin</t>
    </r>
    <r>
      <rPr>
        <sz val="16"/>
        <rFont val="Arial"/>
        <family val="2"/>
      </rPr>
      <t>)</t>
    </r>
    <r>
      <rPr>
        <vertAlign val="superscript"/>
        <sz val="12"/>
        <rFont val="Arial"/>
        <family val="2"/>
      </rPr>
      <t>2</t>
    </r>
    <r>
      <rPr>
        <sz val="16"/>
        <rFont val="Arial"/>
        <family val="2"/>
      </rPr>
      <t>=</t>
    </r>
  </si>
  <si>
    <r>
      <rPr>
        <sz val="16"/>
        <rFont val="Arial"/>
        <family val="2"/>
      </rPr>
      <t xml:space="preserve">C </t>
    </r>
    <r>
      <rPr>
        <vertAlign val="subscript"/>
        <sz val="16"/>
        <rFont val="Arial"/>
        <family val="2"/>
      </rPr>
      <t>f</t>
    </r>
    <r>
      <rPr>
        <sz val="16"/>
        <rFont val="Arial"/>
        <family val="2"/>
      </rPr>
      <t xml:space="preserve"> =</t>
    </r>
  </si>
  <si>
    <t>capacità di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</si>
</sst>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 € &quot;#,##0.00\ ;&quot;-€ &quot;#,##0.00\ ;&quot; € -&quot;#\ ;@\ "/>
    <numFmt numFmtId="165" formatCode="0.0000000000000000"/>
    <numFmt numFmtId="166" formatCode="#,##0.00\ ;\-#,##0.00\ ;&quot; -&quot;#\ ;@\ "/>
    <numFmt numFmtId="167" formatCode="#,##0\ ;\-#,##0\ ;&quot; -&quot;#\ ;@\ "/>
    <numFmt numFmtId="168" formatCode="#,###.000"/>
    <numFmt numFmtId="169" formatCode="0.000"/>
    <numFmt numFmtId="170" formatCode="#,##0.000\ ;\-#,##0.000\ ;&quot; -&quot;#\ ;@\ "/>
    <numFmt numFmtId="171" formatCode="#,##0.000"/>
    <numFmt numFmtId="172" formatCode="0.000%"/>
    <numFmt numFmtId="173" formatCode="#,##0.00;[Red]#,##0.00"/>
    <numFmt numFmtId="174" formatCode="0.000000"/>
    <numFmt numFmtId="175" formatCode="#,##0.00_ ;[Red]\-#,##0.00\ "/>
    <numFmt numFmtId="176" formatCode="0.00000"/>
  </numFmts>
  <fonts count="58">
    <font>
      <sz val="10"/>
      <name val="Arial"/>
      <family val="2"/>
    </font>
    <font>
      <sz val="16"/>
      <name val="Arial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GreekC"/>
      <charset val="1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GreekC"/>
      <charset val="1"/>
    </font>
    <font>
      <b/>
      <vertAlign val="subscript"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GreekC"/>
      <charset val="1"/>
    </font>
    <font>
      <b/>
      <sz val="8"/>
      <color indexed="8"/>
      <name val="Tahoma"/>
      <family val="2"/>
    </font>
    <font>
      <b/>
      <sz val="16"/>
      <color indexed="12"/>
      <name val="Symbol"/>
      <family val="1"/>
      <charset val="2"/>
    </font>
    <font>
      <b/>
      <sz val="16"/>
      <color indexed="12"/>
      <name val="Arial"/>
      <family val="2"/>
      <charset val="1"/>
    </font>
    <font>
      <b/>
      <sz val="10"/>
      <color indexed="17"/>
      <name val="Arial"/>
      <family val="2"/>
    </font>
    <font>
      <sz val="8"/>
      <color indexed="8"/>
      <name val="Tahoma"/>
      <family val="2"/>
    </font>
    <font>
      <sz val="10"/>
      <color indexed="57"/>
      <name val="Arial"/>
      <family val="2"/>
    </font>
    <font>
      <b/>
      <sz val="10"/>
      <color indexed="18"/>
      <name val="Arial"/>
      <family val="2"/>
    </font>
    <font>
      <b/>
      <sz val="10"/>
      <color indexed="57"/>
      <name val="Arial"/>
      <family val="2"/>
    </font>
    <font>
      <sz val="10"/>
      <name val="Arial"/>
      <family val="2"/>
    </font>
    <font>
      <sz val="10"/>
      <color theme="4" tint="0.59999389629810485"/>
      <name val="Arial"/>
      <family val="2"/>
    </font>
    <font>
      <b/>
      <sz val="16"/>
      <color theme="4" tint="0.59999389629810485"/>
      <name val="Arial"/>
      <family val="2"/>
    </font>
    <font>
      <b/>
      <sz val="12"/>
      <name val="Symbol"/>
      <family val="1"/>
      <charset val="2"/>
    </font>
    <font>
      <b/>
      <sz val="10"/>
      <name val="Symbol"/>
      <family val="1"/>
      <charset val="2"/>
    </font>
    <font>
      <sz val="20"/>
      <color theme="1"/>
      <name val="Calibri"/>
      <family val="2"/>
      <scheme val="minor"/>
    </font>
    <font>
      <sz val="20"/>
      <color theme="1"/>
      <name val="Symbol"/>
      <family val="1"/>
      <charset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name val="Arial"/>
      <family val="2"/>
    </font>
    <font>
      <sz val="20"/>
      <name val="Symbol"/>
      <family val="1"/>
      <charset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48"/>
      <color rgb="FFFF0000"/>
      <name val="Calibri"/>
      <family val="2"/>
      <scheme val="minor"/>
    </font>
    <font>
      <sz val="14"/>
      <name val="Symbol"/>
      <family val="1"/>
      <charset val="2"/>
    </font>
    <font>
      <sz val="10"/>
      <color theme="4" tint="0.7999816888943144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Symbol"/>
      <family val="1"/>
      <charset val="2"/>
    </font>
    <font>
      <sz val="10"/>
      <color theme="0"/>
      <name val="Arial"/>
      <family val="2"/>
    </font>
    <font>
      <sz val="48"/>
      <color rgb="FFFF0000"/>
      <name val="Arial"/>
      <family val="2"/>
    </font>
    <font>
      <vertAlign val="subscript"/>
      <sz val="16"/>
      <name val="Arial"/>
      <family val="2"/>
    </font>
    <font>
      <sz val="10"/>
      <color theme="0" tint="-0.14999847407452621"/>
      <name val="Arial"/>
      <family val="2"/>
    </font>
    <font>
      <sz val="24"/>
      <color rgb="FFFF0000"/>
      <name val="Arial"/>
      <family val="2"/>
    </font>
    <font>
      <sz val="16"/>
      <color rgb="FFC00000"/>
      <name val="Arial"/>
      <family val="2"/>
    </font>
    <font>
      <vertAlign val="subscript"/>
      <sz val="16"/>
      <color rgb="FFC00000"/>
      <name val="Arial"/>
      <family val="2"/>
    </font>
    <font>
      <b/>
      <sz val="10"/>
      <color rgb="FFC00000"/>
      <name val="Arial"/>
      <family val="2"/>
    </font>
    <font>
      <vertAlign val="superscript"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indexed="51"/>
        <bgColor indexed="50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/>
      <right style="thick">
        <color indexed="18"/>
      </right>
      <top/>
      <bottom/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16"/>
      </left>
      <right/>
      <top style="thick">
        <color indexed="16"/>
      </top>
      <bottom/>
      <diagonal/>
    </border>
    <border>
      <left/>
      <right/>
      <top style="thick">
        <color indexed="16"/>
      </top>
      <bottom/>
      <diagonal/>
    </border>
    <border>
      <left/>
      <right style="thick">
        <color indexed="16"/>
      </right>
      <top style="thick">
        <color indexed="16"/>
      </top>
      <bottom/>
      <diagonal/>
    </border>
    <border>
      <left style="thick">
        <color indexed="16"/>
      </left>
      <right/>
      <top/>
      <bottom/>
      <diagonal/>
    </border>
    <border>
      <left/>
      <right style="thick">
        <color indexed="16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18"/>
      </left>
      <right/>
      <top style="double">
        <color indexed="18"/>
      </top>
      <bottom/>
      <diagonal/>
    </border>
    <border>
      <left/>
      <right/>
      <top style="double">
        <color indexed="18"/>
      </top>
      <bottom/>
      <diagonal/>
    </border>
    <border>
      <left/>
      <right style="double">
        <color indexed="18"/>
      </right>
      <top style="double">
        <color indexed="18"/>
      </top>
      <bottom/>
      <diagonal/>
    </border>
    <border>
      <left style="double">
        <color indexed="18"/>
      </left>
      <right/>
      <top/>
      <bottom/>
      <diagonal/>
    </border>
    <border>
      <left/>
      <right style="double">
        <color indexed="18"/>
      </right>
      <top/>
      <bottom/>
      <diagonal/>
    </border>
    <border>
      <left style="double">
        <color indexed="18"/>
      </left>
      <right/>
      <top/>
      <bottom style="double">
        <color indexed="18"/>
      </bottom>
      <diagonal/>
    </border>
    <border>
      <left/>
      <right/>
      <top/>
      <bottom style="double">
        <color indexed="18"/>
      </bottom>
      <diagonal/>
    </border>
    <border>
      <left/>
      <right style="double">
        <color indexed="18"/>
      </right>
      <top/>
      <bottom style="double">
        <color indexed="18"/>
      </bottom>
      <diagonal/>
    </border>
    <border>
      <left/>
      <right/>
      <top style="thick">
        <color indexed="17"/>
      </top>
      <bottom/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26" fillId="0" borderId="0" applyFill="0" applyBorder="0" applyAlignment="0" applyProtection="0"/>
    <xf numFmtId="166" fontId="26" fillId="0" borderId="0" applyFill="0" applyBorder="0" applyAlignment="0" applyProtection="0"/>
  </cellStyleXfs>
  <cellXfs count="209">
    <xf numFmtId="0" fontId="0" fillId="0" borderId="0" xfId="0"/>
    <xf numFmtId="0" fontId="0" fillId="2" borderId="0" xfId="0" applyFill="1" applyBorder="1"/>
    <xf numFmtId="167" fontId="0" fillId="2" borderId="0" xfId="2" applyNumberFormat="1" applyFont="1" applyFill="1" applyBorder="1" applyAlignment="1" applyProtection="1"/>
    <xf numFmtId="2" fontId="0" fillId="2" borderId="0" xfId="0" applyNumberFormat="1" applyFill="1"/>
    <xf numFmtId="0" fontId="0" fillId="2" borderId="0" xfId="0" applyFill="1"/>
    <xf numFmtId="0" fontId="0" fillId="2" borderId="0" xfId="0" applyFont="1" applyFill="1"/>
    <xf numFmtId="168" fontId="3" fillId="2" borderId="0" xfId="0" applyNumberFormat="1" applyFont="1" applyFill="1"/>
    <xf numFmtId="167" fontId="6" fillId="3" borderId="15" xfId="2" applyNumberFormat="1" applyFont="1" applyFill="1" applyBorder="1" applyAlignment="1" applyProtection="1">
      <alignment horizontal="right"/>
    </xf>
    <xf numFmtId="167" fontId="6" fillId="3" borderId="16" xfId="2" applyNumberFormat="1" applyFont="1" applyFill="1" applyBorder="1" applyAlignment="1" applyProtection="1">
      <alignment horizontal="left"/>
    </xf>
    <xf numFmtId="167" fontId="6" fillId="4" borderId="9" xfId="2" applyNumberFormat="1" applyFont="1" applyFill="1" applyBorder="1" applyAlignment="1" applyProtection="1">
      <alignment horizontal="right"/>
    </xf>
    <xf numFmtId="167" fontId="6" fillId="4" borderId="11" xfId="2" applyNumberFormat="1" applyFont="1" applyFill="1" applyBorder="1" applyAlignment="1" applyProtection="1">
      <alignment horizontal="left"/>
    </xf>
    <xf numFmtId="0" fontId="7" fillId="5" borderId="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right"/>
    </xf>
    <xf numFmtId="167" fontId="6" fillId="3" borderId="18" xfId="2" applyNumberFormat="1" applyFont="1" applyFill="1" applyBorder="1" applyAlignment="1" applyProtection="1">
      <alignment horizontal="left"/>
    </xf>
    <xf numFmtId="167" fontId="6" fillId="4" borderId="12" xfId="2" applyNumberFormat="1" applyFont="1" applyFill="1" applyBorder="1" applyAlignment="1" applyProtection="1">
      <alignment horizontal="right"/>
    </xf>
    <xf numFmtId="167" fontId="6" fillId="4" borderId="13" xfId="2" applyNumberFormat="1" applyFont="1" applyFill="1" applyBorder="1" applyAlignment="1" applyProtection="1">
      <alignment horizontal="left"/>
    </xf>
    <xf numFmtId="0" fontId="11" fillId="2" borderId="0" xfId="0" applyFont="1" applyFill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3" fillId="2" borderId="0" xfId="0" applyFont="1" applyFill="1"/>
    <xf numFmtId="168" fontId="19" fillId="2" borderId="0" xfId="2" applyNumberFormat="1" applyFont="1" applyFill="1" applyBorder="1" applyAlignment="1" applyProtection="1">
      <alignment horizontal="center"/>
    </xf>
    <xf numFmtId="4" fontId="6" fillId="0" borderId="0" xfId="2" applyNumberFormat="1" applyFont="1" applyFill="1" applyBorder="1" applyAlignment="1" applyProtection="1"/>
    <xf numFmtId="1" fontId="21" fillId="0" borderId="0" xfId="0" applyNumberFormat="1" applyFont="1" applyFill="1"/>
    <xf numFmtId="169" fontId="0" fillId="0" borderId="19" xfId="0" applyNumberFormat="1" applyFill="1" applyBorder="1"/>
    <xf numFmtId="170" fontId="16" fillId="0" borderId="20" xfId="2" applyNumberFormat="1" applyFont="1" applyFill="1" applyBorder="1" applyAlignment="1" applyProtection="1"/>
    <xf numFmtId="171" fontId="0" fillId="0" borderId="19" xfId="0" applyNumberFormat="1" applyFill="1" applyBorder="1"/>
    <xf numFmtId="171" fontId="16" fillId="0" borderId="21" xfId="2" applyNumberFormat="1" applyFont="1" applyFill="1" applyBorder="1" applyAlignment="1" applyProtection="1"/>
    <xf numFmtId="171" fontId="0" fillId="0" borderId="20" xfId="0" applyNumberFormat="1" applyFill="1" applyBorder="1"/>
    <xf numFmtId="171" fontId="0" fillId="0" borderId="20" xfId="2" applyNumberFormat="1" applyFont="1" applyFill="1" applyBorder="1" applyAlignment="1" applyProtection="1"/>
    <xf numFmtId="171" fontId="16" fillId="0" borderId="19" xfId="0" applyNumberFormat="1" applyFont="1" applyFill="1" applyBorder="1"/>
    <xf numFmtId="171" fontId="16" fillId="0" borderId="20" xfId="0" applyNumberFormat="1" applyFont="1" applyFill="1" applyBorder="1"/>
    <xf numFmtId="168" fontId="24" fillId="2" borderId="0" xfId="2" applyNumberFormat="1" applyFont="1" applyFill="1" applyBorder="1" applyAlignment="1" applyProtection="1"/>
    <xf numFmtId="169" fontId="0" fillId="0" borderId="22" xfId="0" applyNumberFormat="1" applyFill="1" applyBorder="1"/>
    <xf numFmtId="171" fontId="0" fillId="0" borderId="22" xfId="0" applyNumberFormat="1" applyFill="1" applyBorder="1"/>
    <xf numFmtId="0" fontId="6" fillId="6" borderId="2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17" fillId="6" borderId="27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0" fillId="2" borderId="0" xfId="0" applyNumberFormat="1" applyFill="1"/>
    <xf numFmtId="167" fontId="6" fillId="2" borderId="0" xfId="2" applyNumberFormat="1" applyFont="1" applyFill="1" applyBorder="1" applyAlignment="1" applyProtection="1"/>
    <xf numFmtId="1" fontId="21" fillId="2" borderId="0" xfId="0" applyNumberFormat="1" applyFont="1" applyFill="1" applyBorder="1"/>
    <xf numFmtId="167" fontId="0" fillId="2" borderId="0" xfId="0" applyNumberFormat="1" applyFill="1" applyBorder="1"/>
    <xf numFmtId="170" fontId="16" fillId="2" borderId="0" xfId="2" applyNumberFormat="1" applyFont="1" applyFill="1" applyBorder="1" applyAlignment="1" applyProtection="1"/>
    <xf numFmtId="170" fontId="0" fillId="2" borderId="0" xfId="0" applyNumberFormat="1" applyFill="1" applyBorder="1"/>
    <xf numFmtId="170" fontId="16" fillId="2" borderId="0" xfId="0" applyNumberFormat="1" applyFont="1" applyFill="1" applyBorder="1"/>
    <xf numFmtId="168" fontId="3" fillId="2" borderId="0" xfId="0" applyNumberFormat="1" applyFont="1" applyFill="1" applyBorder="1"/>
    <xf numFmtId="0" fontId="0" fillId="2" borderId="0" xfId="0" applyFont="1" applyFill="1" applyBorder="1"/>
    <xf numFmtId="172" fontId="24" fillId="2" borderId="0" xfId="2" applyNumberFormat="1" applyFont="1" applyFill="1" applyBorder="1" applyAlignment="1" applyProtection="1"/>
    <xf numFmtId="172" fontId="27" fillId="2" borderId="0" xfId="0" applyNumberFormat="1" applyFont="1" applyFill="1"/>
    <xf numFmtId="0" fontId="28" fillId="2" borderId="0" xfId="0" applyFont="1" applyFill="1"/>
    <xf numFmtId="173" fontId="28" fillId="2" borderId="0" xfId="0" applyNumberFormat="1" applyFont="1" applyFill="1"/>
    <xf numFmtId="174" fontId="27" fillId="2" borderId="0" xfId="0" applyNumberFormat="1" applyFont="1" applyFill="1"/>
    <xf numFmtId="0" fontId="27" fillId="2" borderId="0" xfId="0" applyFont="1" applyFill="1"/>
    <xf numFmtId="0" fontId="8" fillId="2" borderId="32" xfId="0" applyFont="1" applyFill="1" applyBorder="1" applyAlignment="1">
      <alignment horizontal="center"/>
    </xf>
    <xf numFmtId="1" fontId="10" fillId="2" borderId="32" xfId="0" applyNumberFormat="1" applyFont="1" applyFill="1" applyBorder="1" applyAlignment="1">
      <alignment horizontal="center"/>
    </xf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8" borderId="0" xfId="0" applyFill="1"/>
    <xf numFmtId="0" fontId="0" fillId="7" borderId="4" xfId="0" applyFill="1" applyBorder="1"/>
    <xf numFmtId="0" fontId="0" fillId="7" borderId="0" xfId="0" applyFill="1"/>
    <xf numFmtId="0" fontId="1" fillId="7" borderId="0" xfId="0" applyFont="1" applyFill="1"/>
    <xf numFmtId="0" fontId="0" fillId="7" borderId="5" xfId="0" applyFill="1" applyBorder="1"/>
    <xf numFmtId="0" fontId="2" fillId="7" borderId="0" xfId="0" applyFont="1" applyFill="1"/>
    <xf numFmtId="38" fontId="2" fillId="7" borderId="0" xfId="0" applyNumberFormat="1" applyFont="1" applyFill="1"/>
    <xf numFmtId="0" fontId="2" fillId="7" borderId="5" xfId="0" applyFont="1" applyFill="1" applyBorder="1"/>
    <xf numFmtId="0" fontId="2" fillId="7" borderId="0" xfId="0" applyNumberFormat="1" applyFont="1" applyFill="1"/>
    <xf numFmtId="0" fontId="2" fillId="7" borderId="5" xfId="0" applyNumberFormat="1" applyFont="1" applyFill="1" applyBorder="1"/>
    <xf numFmtId="2" fontId="2" fillId="7" borderId="0" xfId="0" applyNumberFormat="1" applyFont="1" applyFill="1"/>
    <xf numFmtId="165" fontId="4" fillId="7" borderId="0" xfId="0" applyNumberFormat="1" applyFont="1" applyFill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175" fontId="25" fillId="5" borderId="31" xfId="2" applyNumberFormat="1" applyFont="1" applyFill="1" applyBorder="1" applyAlignment="1" applyProtection="1">
      <alignment horizontal="right"/>
    </xf>
    <xf numFmtId="175" fontId="25" fillId="5" borderId="0" xfId="2" applyNumberFormat="1" applyFont="1" applyFill="1" applyBorder="1" applyAlignment="1" applyProtection="1">
      <alignment horizontal="right"/>
    </xf>
    <xf numFmtId="175" fontId="25" fillId="5" borderId="10" xfId="2" applyNumberFormat="1" applyFont="1" applyFill="1" applyBorder="1" applyAlignment="1" applyProtection="1">
      <alignment horizontal="right"/>
    </xf>
    <xf numFmtId="175" fontId="25" fillId="6" borderId="26" xfId="0" applyNumberFormat="1" applyFont="1" applyFill="1" applyBorder="1" applyAlignment="1">
      <alignment horizontal="center"/>
    </xf>
    <xf numFmtId="175" fontId="25" fillId="6" borderId="0" xfId="0" applyNumberFormat="1" applyFont="1" applyFill="1" applyAlignment="1">
      <alignment horizontal="center"/>
    </xf>
    <xf numFmtId="175" fontId="25" fillId="6" borderId="27" xfId="0" applyNumberFormat="1" applyFont="1" applyFill="1" applyBorder="1" applyAlignment="1">
      <alignment horizontal="center"/>
    </xf>
    <xf numFmtId="175" fontId="25" fillId="6" borderId="28" xfId="0" applyNumberFormat="1" applyFont="1" applyFill="1" applyBorder="1" applyAlignment="1">
      <alignment horizontal="center"/>
    </xf>
    <xf numFmtId="175" fontId="25" fillId="6" borderId="29" xfId="0" applyNumberFormat="1" applyFont="1" applyFill="1" applyBorder="1" applyAlignment="1">
      <alignment horizontal="center"/>
    </xf>
    <xf numFmtId="170" fontId="6" fillId="2" borderId="33" xfId="2" applyNumberFormat="1" applyFont="1" applyFill="1" applyBorder="1" applyAlignment="1" applyProtection="1"/>
    <xf numFmtId="0" fontId="6" fillId="2" borderId="33" xfId="0" applyFont="1" applyFill="1" applyBorder="1" applyAlignment="1">
      <alignment horizontal="center"/>
    </xf>
    <xf numFmtId="2" fontId="6" fillId="2" borderId="33" xfId="0" applyNumberFormat="1" applyFont="1" applyFill="1" applyBorder="1"/>
    <xf numFmtId="0" fontId="6" fillId="2" borderId="33" xfId="0" applyFont="1" applyFill="1" applyBorder="1"/>
    <xf numFmtId="167" fontId="6" fillId="2" borderId="33" xfId="2" applyNumberFormat="1" applyFont="1" applyFill="1" applyBorder="1" applyAlignment="1" applyProtection="1">
      <alignment horizontal="center"/>
    </xf>
    <xf numFmtId="169" fontId="0" fillId="0" borderId="34" xfId="0" applyNumberFormat="1" applyFill="1" applyBorder="1"/>
    <xf numFmtId="169" fontId="23" fillId="5" borderId="35" xfId="0" applyNumberFormat="1" applyFont="1" applyFill="1" applyBorder="1" applyProtection="1"/>
    <xf numFmtId="170" fontId="16" fillId="0" borderId="22" xfId="2" applyNumberFormat="1" applyFont="1" applyFill="1" applyBorder="1" applyAlignment="1" applyProtection="1"/>
    <xf numFmtId="171" fontId="0" fillId="0" borderId="34" xfId="0" applyNumberFormat="1" applyFill="1" applyBorder="1"/>
    <xf numFmtId="171" fontId="23" fillId="5" borderId="35" xfId="0" applyNumberFormat="1" applyFont="1" applyFill="1" applyBorder="1" applyProtection="1"/>
    <xf numFmtId="171" fontId="16" fillId="0" borderId="36" xfId="2" applyNumberFormat="1" applyFont="1" applyFill="1" applyBorder="1" applyAlignment="1" applyProtection="1"/>
    <xf numFmtId="171" fontId="0" fillId="0" borderId="22" xfId="2" applyNumberFormat="1" applyFont="1" applyFill="1" applyBorder="1" applyAlignment="1" applyProtection="1"/>
    <xf numFmtId="171" fontId="16" fillId="0" borderId="34" xfId="0" applyNumberFormat="1" applyFont="1" applyFill="1" applyBorder="1"/>
    <xf numFmtId="171" fontId="16" fillId="0" borderId="22" xfId="0" applyNumberFormat="1" applyFont="1" applyFill="1" applyBorder="1"/>
    <xf numFmtId="167" fontId="18" fillId="2" borderId="33" xfId="2" applyNumberFormat="1" applyFont="1" applyFill="1" applyBorder="1" applyAlignment="1" applyProtection="1">
      <alignment horizontal="center"/>
    </xf>
    <xf numFmtId="167" fontId="0" fillId="3" borderId="17" xfId="2" applyNumberFormat="1" applyFont="1" applyFill="1" applyBorder="1" applyAlignment="1" applyProtection="1">
      <alignment horizontal="center"/>
    </xf>
    <xf numFmtId="167" fontId="0" fillId="3" borderId="0" xfId="2" applyNumberFormat="1" applyFont="1" applyFill="1" applyBorder="1" applyAlignment="1" applyProtection="1">
      <alignment horizontal="right"/>
    </xf>
    <xf numFmtId="0" fontId="12" fillId="3" borderId="18" xfId="0" applyFont="1" applyFill="1" applyBorder="1" applyAlignment="1">
      <alignment horizontal="left"/>
    </xf>
    <xf numFmtId="167" fontId="30" fillId="2" borderId="33" xfId="2" applyNumberFormat="1" applyFont="1" applyFill="1" applyBorder="1" applyAlignment="1" applyProtection="1">
      <alignment horizontal="center"/>
    </xf>
    <xf numFmtId="0" fontId="31" fillId="0" borderId="0" xfId="0" applyFont="1"/>
    <xf numFmtId="0" fontId="35" fillId="0" borderId="0" xfId="0" applyFont="1"/>
    <xf numFmtId="0" fontId="14" fillId="5" borderId="0" xfId="0" applyNumberFormat="1" applyFont="1" applyFill="1" applyBorder="1" applyAlignment="1" applyProtection="1">
      <alignment horizontal="center"/>
    </xf>
    <xf numFmtId="38" fontId="14" fillId="5" borderId="0" xfId="0" applyNumberFormat="1" applyFont="1" applyFill="1" applyBorder="1" applyAlignment="1" applyProtection="1">
      <alignment horizontal="center"/>
    </xf>
    <xf numFmtId="169" fontId="14" fillId="5" borderId="0" xfId="0" applyNumberFormat="1" applyFont="1" applyFill="1" applyBorder="1" applyAlignment="1" applyProtection="1">
      <alignment horizontal="center"/>
    </xf>
    <xf numFmtId="0" fontId="40" fillId="0" borderId="0" xfId="0" applyFont="1"/>
    <xf numFmtId="0" fontId="0" fillId="0" borderId="37" xfId="0" applyBorder="1"/>
    <xf numFmtId="0" fontId="0" fillId="0" borderId="0" xfId="0" applyBorder="1"/>
    <xf numFmtId="0" fontId="0" fillId="0" borderId="38" xfId="0" applyBorder="1"/>
    <xf numFmtId="0" fontId="0" fillId="9" borderId="0" xfId="0" applyFill="1"/>
    <xf numFmtId="0" fontId="40" fillId="9" borderId="0" xfId="0" applyFont="1" applyFill="1"/>
    <xf numFmtId="0" fontId="31" fillId="9" borderId="0" xfId="0" applyFont="1" applyFill="1"/>
    <xf numFmtId="0" fontId="35" fillId="9" borderId="0" xfId="0" applyFont="1" applyFill="1" applyBorder="1" applyProtection="1"/>
    <xf numFmtId="0" fontId="0" fillId="9" borderId="0" xfId="0" applyFill="1" applyBorder="1" applyProtection="1"/>
    <xf numFmtId="0" fontId="0" fillId="9" borderId="0" xfId="0" applyFill="1" applyProtection="1"/>
    <xf numFmtId="0" fontId="31" fillId="9" borderId="0" xfId="0" applyFont="1" applyFill="1" applyProtection="1"/>
    <xf numFmtId="1" fontId="0" fillId="9" borderId="0" xfId="0" applyNumberFormat="1" applyFill="1" applyBorder="1" applyProtection="1"/>
    <xf numFmtId="1" fontId="31" fillId="9" borderId="0" xfId="0" applyNumberFormat="1" applyFont="1" applyFill="1" applyProtection="1"/>
    <xf numFmtId="1" fontId="35" fillId="10" borderId="39" xfId="0" applyNumberFormat="1" applyFont="1" applyFill="1" applyBorder="1" applyProtection="1">
      <protection locked="0"/>
    </xf>
    <xf numFmtId="2" fontId="31" fillId="10" borderId="39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4" fontId="0" fillId="0" borderId="0" xfId="0" applyNumberFormat="1"/>
    <xf numFmtId="1" fontId="2" fillId="7" borderId="0" xfId="0" applyNumberFormat="1" applyFont="1" applyFill="1"/>
    <xf numFmtId="4" fontId="40" fillId="9" borderId="0" xfId="0" applyNumberFormat="1" applyFont="1" applyFill="1"/>
    <xf numFmtId="1" fontId="35" fillId="10" borderId="0" xfId="0" applyNumberFormat="1" applyFont="1" applyFill="1" applyBorder="1" applyProtection="1">
      <protection locked="0"/>
    </xf>
    <xf numFmtId="1" fontId="35" fillId="12" borderId="0" xfId="0" applyNumberFormat="1" applyFont="1" applyFill="1" applyBorder="1" applyProtection="1">
      <protection locked="0"/>
    </xf>
    <xf numFmtId="1" fontId="35" fillId="10" borderId="42" xfId="0" applyNumberFormat="1" applyFont="1" applyFill="1" applyBorder="1" applyProtection="1">
      <protection locked="0"/>
    </xf>
    <xf numFmtId="169" fontId="35" fillId="10" borderId="0" xfId="0" applyNumberFormat="1" applyFont="1" applyFill="1" applyBorder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</xf>
    <xf numFmtId="0" fontId="45" fillId="2" borderId="0" xfId="0" applyFont="1" applyFill="1"/>
    <xf numFmtId="0" fontId="38" fillId="9" borderId="0" xfId="0" applyFont="1" applyFill="1" applyProtection="1"/>
    <xf numFmtId="0" fontId="39" fillId="9" borderId="0" xfId="0" applyFont="1" applyFill="1" applyProtection="1"/>
    <xf numFmtId="0" fontId="37" fillId="9" borderId="0" xfId="0" applyFont="1" applyFill="1" applyProtection="1"/>
    <xf numFmtId="0" fontId="35" fillId="9" borderId="0" xfId="0" applyFont="1" applyFill="1" applyProtection="1"/>
    <xf numFmtId="2" fontId="35" fillId="9" borderId="0" xfId="0" applyNumberFormat="1" applyFont="1" applyFill="1" applyAlignment="1" applyProtection="1">
      <alignment horizontal="center"/>
    </xf>
    <xf numFmtId="0" fontId="40" fillId="9" borderId="0" xfId="0" applyFont="1" applyFill="1" applyProtection="1"/>
    <xf numFmtId="169" fontId="40" fillId="9" borderId="0" xfId="0" applyNumberFormat="1" applyFont="1" applyFill="1" applyAlignment="1" applyProtection="1"/>
    <xf numFmtId="0" fontId="31" fillId="10" borderId="0" xfId="0" applyFont="1" applyFill="1" applyAlignment="1" applyProtection="1">
      <alignment horizontal="right"/>
    </xf>
    <xf numFmtId="0" fontId="31" fillId="9" borderId="0" xfId="0" applyFont="1" applyFill="1" applyAlignment="1" applyProtection="1">
      <alignment horizontal="center"/>
    </xf>
    <xf numFmtId="0" fontId="35" fillId="10" borderId="0" xfId="0" applyFont="1" applyFill="1" applyBorder="1" applyAlignment="1" applyProtection="1">
      <alignment horizontal="center"/>
    </xf>
    <xf numFmtId="0" fontId="31" fillId="9" borderId="0" xfId="0" applyFont="1" applyFill="1" applyAlignment="1" applyProtection="1">
      <alignment horizontal="left"/>
    </xf>
    <xf numFmtId="0" fontId="0" fillId="12" borderId="0" xfId="0" applyFill="1" applyProtection="1"/>
    <xf numFmtId="0" fontId="0" fillId="12" borderId="0" xfId="0" applyFill="1" applyAlignment="1" applyProtection="1">
      <alignment horizontal="center"/>
    </xf>
    <xf numFmtId="0" fontId="31" fillId="12" borderId="0" xfId="0" applyFont="1" applyFill="1" applyProtection="1"/>
    <xf numFmtId="0" fontId="31" fillId="12" borderId="0" xfId="0" applyFont="1" applyFill="1" applyAlignment="1" applyProtection="1">
      <alignment horizontal="left"/>
    </xf>
    <xf numFmtId="0" fontId="31" fillId="11" borderId="0" xfId="0" applyFont="1" applyFill="1" applyAlignment="1" applyProtection="1">
      <alignment horizontal="right"/>
    </xf>
    <xf numFmtId="1" fontId="31" fillId="11" borderId="0" xfId="0" applyNumberFormat="1" applyFont="1" applyFill="1" applyProtection="1"/>
    <xf numFmtId="0" fontId="31" fillId="11" borderId="0" xfId="0" applyFont="1" applyFill="1" applyProtection="1"/>
    <xf numFmtId="0" fontId="35" fillId="10" borderId="39" xfId="0" applyFont="1" applyFill="1" applyBorder="1" applyAlignment="1" applyProtection="1">
      <alignment horizontal="center"/>
      <protection locked="0"/>
    </xf>
    <xf numFmtId="1" fontId="35" fillId="12" borderId="39" xfId="0" applyNumberFormat="1" applyFont="1" applyFill="1" applyBorder="1" applyProtection="1"/>
    <xf numFmtId="1" fontId="35" fillId="12" borderId="42" xfId="0" applyNumberFormat="1" applyFont="1" applyFill="1" applyBorder="1" applyProtection="1"/>
    <xf numFmtId="0" fontId="35" fillId="14" borderId="0" xfId="0" applyFont="1" applyFill="1"/>
    <xf numFmtId="0" fontId="0" fillId="14" borderId="0" xfId="0" applyFill="1"/>
    <xf numFmtId="0" fontId="0" fillId="15" borderId="0" xfId="0" applyFill="1"/>
    <xf numFmtId="10" fontId="49" fillId="15" borderId="0" xfId="0" applyNumberFormat="1" applyFont="1" applyFill="1"/>
    <xf numFmtId="0" fontId="35" fillId="15" borderId="0" xfId="0" applyFont="1" applyFill="1"/>
    <xf numFmtId="0" fontId="1" fillId="15" borderId="0" xfId="0" applyFont="1" applyFill="1"/>
    <xf numFmtId="176" fontId="0" fillId="9" borderId="0" xfId="0" applyNumberFormat="1" applyFill="1" applyProtection="1"/>
    <xf numFmtId="0" fontId="50" fillId="15" borderId="0" xfId="0" applyFont="1" applyFill="1" applyAlignment="1"/>
    <xf numFmtId="0" fontId="1" fillId="14" borderId="0" xfId="0" applyFont="1" applyFill="1" applyAlignment="1">
      <alignment vertical="center"/>
    </xf>
    <xf numFmtId="1" fontId="1" fillId="14" borderId="0" xfId="0" applyNumberFormat="1" applyFont="1" applyFill="1" applyAlignment="1">
      <alignment vertical="center"/>
    </xf>
    <xf numFmtId="0" fontId="0" fillId="14" borderId="0" xfId="0" applyFill="1" applyAlignment="1">
      <alignment vertical="center"/>
    </xf>
    <xf numFmtId="0" fontId="1" fillId="14" borderId="0" xfId="0" applyFont="1" applyFill="1" applyAlignment="1">
      <alignment horizontal="right" vertical="center"/>
    </xf>
    <xf numFmtId="0" fontId="0" fillId="14" borderId="0" xfId="0" applyFill="1" applyAlignment="1">
      <alignment horizontal="right" vertical="center"/>
    </xf>
    <xf numFmtId="0" fontId="46" fillId="14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1" fillId="13" borderId="0" xfId="0" applyFont="1" applyFill="1" applyAlignment="1">
      <alignment vertical="center"/>
    </xf>
    <xf numFmtId="0" fontId="47" fillId="13" borderId="0" xfId="0" applyFont="1" applyFill="1" applyAlignment="1">
      <alignment vertical="center"/>
    </xf>
    <xf numFmtId="0" fontId="50" fillId="14" borderId="0" xfId="0" applyFont="1" applyFill="1" applyAlignment="1"/>
    <xf numFmtId="2" fontId="0" fillId="14" borderId="0" xfId="0" applyNumberFormat="1" applyFill="1" applyAlignment="1">
      <alignment horizontal="right" vertical="center"/>
    </xf>
    <xf numFmtId="169" fontId="0" fillId="14" borderId="0" xfId="0" applyNumberFormat="1" applyFill="1" applyAlignment="1">
      <alignment horizontal="right" vertical="center"/>
    </xf>
    <xf numFmtId="169" fontId="1" fillId="13" borderId="0" xfId="0" applyNumberFormat="1" applyFont="1" applyFill="1" applyAlignment="1">
      <alignment vertical="center"/>
    </xf>
    <xf numFmtId="169" fontId="1" fillId="8" borderId="0" xfId="0" applyNumberFormat="1" applyFont="1" applyFill="1" applyAlignment="1" applyProtection="1">
      <alignment vertical="center"/>
      <protection locked="0"/>
    </xf>
    <xf numFmtId="0" fontId="1" fillId="8" borderId="0" xfId="0" applyFont="1" applyFill="1" applyAlignment="1" applyProtection="1">
      <alignment vertical="center"/>
      <protection locked="0"/>
    </xf>
    <xf numFmtId="1" fontId="1" fillId="16" borderId="0" xfId="0" applyNumberFormat="1" applyFont="1" applyFill="1" applyAlignment="1">
      <alignment vertical="center"/>
    </xf>
    <xf numFmtId="169" fontId="1" fillId="16" borderId="0" xfId="0" applyNumberFormat="1" applyFont="1" applyFill="1" applyAlignment="1">
      <alignment horizontal="right" vertical="center"/>
    </xf>
    <xf numFmtId="2" fontId="1" fillId="16" borderId="0" xfId="0" applyNumberFormat="1" applyFont="1" applyFill="1" applyAlignment="1">
      <alignment horizontal="right" vertical="center"/>
    </xf>
    <xf numFmtId="0" fontId="52" fillId="2" borderId="0" xfId="0" applyFont="1" applyFill="1"/>
    <xf numFmtId="0" fontId="1" fillId="13" borderId="0" xfId="0" applyFont="1" applyFill="1" applyAlignment="1">
      <alignment horizontal="right" vertical="center"/>
    </xf>
    <xf numFmtId="0" fontId="0" fillId="15" borderId="0" xfId="0" applyFill="1" applyAlignment="1">
      <alignment vertical="top"/>
    </xf>
    <xf numFmtId="0" fontId="1" fillId="14" borderId="0" xfId="0" applyFont="1" applyFill="1" applyAlignment="1"/>
    <xf numFmtId="0" fontId="1" fillId="14" borderId="0" xfId="0" applyFont="1" applyFill="1" applyAlignment="1">
      <alignment horizontal="right"/>
    </xf>
    <xf numFmtId="1" fontId="54" fillId="16" borderId="0" xfId="0" applyNumberFormat="1" applyFont="1" applyFill="1" applyAlignment="1">
      <alignment vertical="center"/>
    </xf>
    <xf numFmtId="0" fontId="54" fillId="14" borderId="0" xfId="0" applyFont="1" applyFill="1" applyAlignment="1">
      <alignment vertical="center"/>
    </xf>
    <xf numFmtId="0" fontId="56" fillId="14" borderId="0" xfId="0" applyFont="1" applyFill="1" applyAlignment="1">
      <alignment vertical="center"/>
    </xf>
    <xf numFmtId="0" fontId="51" fillId="14" borderId="0" xfId="0" applyFont="1" applyFill="1" applyAlignment="1"/>
    <xf numFmtId="0" fontId="54" fillId="14" borderId="0" xfId="0" applyFont="1" applyFill="1" applyAlignment="1">
      <alignment horizontal="right"/>
    </xf>
    <xf numFmtId="0" fontId="47" fillId="14" borderId="0" xfId="0" applyFont="1" applyFill="1" applyAlignment="1">
      <alignment vertical="center"/>
    </xf>
    <xf numFmtId="0" fontId="15" fillId="2" borderId="33" xfId="0" applyFont="1" applyFill="1" applyBorder="1"/>
    <xf numFmtId="0" fontId="6" fillId="2" borderId="14" xfId="0" applyFont="1" applyFill="1" applyBorder="1" applyAlignment="1">
      <alignment horizontal="center"/>
    </xf>
    <xf numFmtId="167" fontId="6" fillId="2" borderId="14" xfId="2" applyNumberFormat="1" applyFont="1" applyFill="1" applyBorder="1" applyAlignment="1" applyProtection="1">
      <alignment horizontal="center"/>
    </xf>
    <xf numFmtId="0" fontId="15" fillId="2" borderId="33" xfId="0" applyFont="1" applyFill="1" applyBorder="1" applyAlignment="1">
      <alignment horizontal="center"/>
    </xf>
    <xf numFmtId="0" fontId="15" fillId="2" borderId="33" xfId="0" applyFont="1" applyFill="1" applyBorder="1" applyProtection="1"/>
    <xf numFmtId="0" fontId="0" fillId="9" borderId="0" xfId="0" applyFill="1" applyAlignment="1" applyProtection="1">
      <alignment horizontal="center"/>
    </xf>
    <xf numFmtId="169" fontId="35" fillId="10" borderId="40" xfId="0" applyNumberFormat="1" applyFont="1" applyFill="1" applyBorder="1" applyAlignment="1" applyProtection="1">
      <alignment horizontal="center"/>
      <protection locked="0"/>
    </xf>
    <xf numFmtId="169" fontId="35" fillId="10" borderId="41" xfId="0" applyNumberFormat="1" applyFont="1" applyFill="1" applyBorder="1" applyAlignment="1" applyProtection="1">
      <alignment horizontal="center"/>
      <protection locked="0"/>
    </xf>
    <xf numFmtId="0" fontId="43" fillId="9" borderId="0" xfId="0" applyFont="1" applyFill="1" applyAlignment="1" applyProtection="1">
      <alignment horizontal="left"/>
    </xf>
    <xf numFmtId="2" fontId="35" fillId="9" borderId="0" xfId="0" applyNumberFormat="1" applyFont="1" applyFill="1" applyAlignment="1" applyProtection="1">
      <alignment horizontal="center"/>
    </xf>
    <xf numFmtId="0" fontId="35" fillId="13" borderId="0" xfId="0" applyFont="1" applyFill="1" applyAlignment="1">
      <alignment horizontal="center" vertical="center"/>
    </xf>
    <xf numFmtId="0" fontId="35" fillId="14" borderId="0" xfId="0" applyFont="1" applyFill="1" applyAlignment="1">
      <alignment horizontal="center"/>
    </xf>
    <xf numFmtId="0" fontId="50" fillId="15" borderId="0" xfId="0" applyFont="1" applyFill="1" applyAlignment="1">
      <alignment horizontal="center"/>
    </xf>
    <xf numFmtId="0" fontId="53" fillId="15" borderId="0" xfId="0" applyFont="1" applyFill="1" applyAlignment="1">
      <alignment horizontal="left" vertical="top"/>
    </xf>
    <xf numFmtId="0" fontId="50" fillId="16" borderId="0" xfId="0" applyFont="1" applyFill="1" applyAlignment="1">
      <alignment horizontal="center" vertical="center"/>
    </xf>
  </cellXfs>
  <cellStyles count="3">
    <cellStyle name="Euro" xfId="1"/>
    <cellStyle name="Migliaia" xfId="2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CCCC00"/>
      <rgbColor rgb="00FF9900"/>
      <rgbColor rgb="00FF3366"/>
      <rgbColor rgb="00666699"/>
      <rgbColor rgb="00B3B3B3"/>
      <rgbColor rgb="00004586"/>
      <rgbColor rgb="0000AE0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80"/>
                </a:solidFill>
                <a:latin typeface="Segoe Script"/>
                <a:ea typeface="Segoe Script"/>
                <a:cs typeface="Segoe Script"/>
              </a:defRPr>
            </a:pPr>
            <a:r>
              <a:rPr lang="it-IT"/>
              <a:t>Allineamento</a:t>
            </a:r>
          </a:p>
        </c:rich>
      </c:tx>
      <c:layout>
        <c:manualLayout>
          <c:xMode val="edge"/>
          <c:yMode val="edge"/>
          <c:x val="0.36666709982331147"/>
          <c:y val="3.8461548387396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0535131879944"/>
          <c:y val="0.12292607891520571"/>
          <c:w val="0.80384716026537495"/>
          <c:h val="0.5822020424695618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  <a:prstDash val="solid"/>
            </a:ln>
          </c:spPr>
          <c:marker>
            <c:symbol val="none"/>
          </c:marker>
          <c:cat>
            <c:strRef>
              <c:f>allineamento!$B$8:$B$114</c:f>
              <c:strCache>
                <c:ptCount val="88"/>
                <c:pt idx="0">
                  <c:v>54</c:v>
                </c:pt>
                <c:pt idx="1">
                  <c:v>59</c:v>
                </c:pt>
                <c:pt idx="2">
                  <c:v>64</c:v>
                </c:pt>
                <c:pt idx="3">
                  <c:v>69</c:v>
                </c:pt>
                <c:pt idx="4">
                  <c:v>74</c:v>
                </c:pt>
                <c:pt idx="5">
                  <c:v>79</c:v>
                </c:pt>
                <c:pt idx="6">
                  <c:v>84</c:v>
                </c:pt>
                <c:pt idx="7">
                  <c:v>89</c:v>
                </c:pt>
                <c:pt idx="8">
                  <c:v>94</c:v>
                </c:pt>
                <c:pt idx="9">
                  <c:v>99</c:v>
                </c:pt>
                <c:pt idx="10">
                  <c:v>104</c:v>
                </c:pt>
                <c:pt idx="11">
                  <c:v>109</c:v>
                </c:pt>
                <c:pt idx="12">
                  <c:v>114</c:v>
                </c:pt>
                <c:pt idx="13">
                  <c:v>119</c:v>
                </c:pt>
                <c:pt idx="14">
                  <c:v>124</c:v>
                </c:pt>
                <c:pt idx="15">
                  <c:v>129</c:v>
                </c:pt>
                <c:pt idx="16">
                  <c:v>134</c:v>
                </c:pt>
                <c:pt idx="17">
                  <c:v>139</c:v>
                </c:pt>
                <c:pt idx="18">
                  <c:v>144</c:v>
                </c:pt>
                <c:pt idx="19">
                  <c:v>149</c:v>
                </c:pt>
                <c:pt idx="20">
                  <c:v>154</c:v>
                </c:pt>
                <c:pt idx="21">
                  <c:v>159</c:v>
                </c:pt>
                <c:pt idx="22">
                  <c:v>164</c:v>
                </c:pt>
                <c:pt idx="23">
                  <c:v>169</c:v>
                </c:pt>
                <c:pt idx="24">
                  <c:v>174</c:v>
                </c:pt>
                <c:pt idx="25">
                  <c:v>179</c:v>
                </c:pt>
                <c:pt idx="26">
                  <c:v>184</c:v>
                </c:pt>
                <c:pt idx="27">
                  <c:v>189</c:v>
                </c:pt>
                <c:pt idx="28">
                  <c:v>194</c:v>
                </c:pt>
                <c:pt idx="29">
                  <c:v>199</c:v>
                </c:pt>
                <c:pt idx="30">
                  <c:v>204</c:v>
                </c:pt>
                <c:pt idx="31">
                  <c:v>209</c:v>
                </c:pt>
                <c:pt idx="32">
                  <c:v>214</c:v>
                </c:pt>
                <c:pt idx="33">
                  <c:v>219</c:v>
                </c:pt>
                <c:pt idx="34">
                  <c:v>224</c:v>
                </c:pt>
                <c:pt idx="35">
                  <c:v>229</c:v>
                </c:pt>
                <c:pt idx="36">
                  <c:v>234</c:v>
                </c:pt>
                <c:pt idx="37">
                  <c:v>239</c:v>
                </c:pt>
                <c:pt idx="38">
                  <c:v>244</c:v>
                </c:pt>
                <c:pt idx="39">
                  <c:v>249</c:v>
                </c:pt>
                <c:pt idx="40">
                  <c:v>254</c:v>
                </c:pt>
                <c:pt idx="41">
                  <c:v>259</c:v>
                </c:pt>
                <c:pt idx="42">
                  <c:v>264</c:v>
                </c:pt>
                <c:pt idx="43">
                  <c:v>269</c:v>
                </c:pt>
                <c:pt idx="44">
                  <c:v>274</c:v>
                </c:pt>
                <c:pt idx="45">
                  <c:v>279</c:v>
                </c:pt>
                <c:pt idx="46">
                  <c:v>284</c:v>
                </c:pt>
                <c:pt idx="47">
                  <c:v>289</c:v>
                </c:pt>
                <c:pt idx="48">
                  <c:v>294</c:v>
                </c:pt>
                <c:pt idx="49">
                  <c:v>299</c:v>
                </c:pt>
                <c:pt idx="50">
                  <c:v>304</c:v>
                </c:pt>
                <c:pt idx="51">
                  <c:v>309</c:v>
                </c:pt>
                <c:pt idx="52">
                  <c:v>314</c:v>
                </c:pt>
                <c:pt idx="53">
                  <c:v>319</c:v>
                </c:pt>
                <c:pt idx="54">
                  <c:v>324</c:v>
                </c:pt>
                <c:pt idx="55">
                  <c:v>329</c:v>
                </c:pt>
                <c:pt idx="56">
                  <c:v>334</c:v>
                </c:pt>
                <c:pt idx="57">
                  <c:v>339</c:v>
                </c:pt>
                <c:pt idx="58">
                  <c:v>344</c:v>
                </c:pt>
                <c:pt idx="59">
                  <c:v>349</c:v>
                </c:pt>
                <c:pt idx="60">
                  <c:v>354</c:v>
                </c:pt>
                <c:pt idx="61">
                  <c:v>359</c:v>
                </c:pt>
                <c:pt idx="62">
                  <c:v>364</c:v>
                </c:pt>
                <c:pt idx="63">
                  <c:v>369</c:v>
                </c:pt>
                <c:pt idx="64">
                  <c:v>374</c:v>
                </c:pt>
                <c:pt idx="65">
                  <c:v>379</c:v>
                </c:pt>
                <c:pt idx="66">
                  <c:v>384</c:v>
                </c:pt>
                <c:pt idx="67">
                  <c:v>389</c:v>
                </c:pt>
                <c:pt idx="68">
                  <c:v>394</c:v>
                </c:pt>
                <c:pt idx="69">
                  <c:v>399</c:v>
                </c:pt>
                <c:pt idx="70">
                  <c:v>404</c:v>
                </c:pt>
                <c:pt idx="71">
                  <c:v>409</c:v>
                </c:pt>
                <c:pt idx="72">
                  <c:v>414</c:v>
                </c:pt>
                <c:pt idx="73">
                  <c:v>419</c:v>
                </c:pt>
                <c:pt idx="74">
                  <c:v>424</c:v>
                </c:pt>
                <c:pt idx="75">
                  <c:v>429</c:v>
                </c:pt>
                <c:pt idx="76">
                  <c:v>434</c:v>
                </c:pt>
                <c:pt idx="77">
                  <c:v>439</c:v>
                </c:pt>
                <c:pt idx="78">
                  <c:v>444</c:v>
                </c:pt>
                <c:pt idx="79">
                  <c:v>449</c:v>
                </c:pt>
                <c:pt idx="80">
                  <c:v>454</c:v>
                </c:pt>
                <c:pt idx="81">
                  <c:v>459</c:v>
                </c:pt>
                <c:pt idx="82">
                  <c:v>464</c:v>
                </c:pt>
                <c:pt idx="83">
                  <c:v>469</c:v>
                </c:pt>
                <c:pt idx="84">
                  <c:v>474</c:v>
                </c:pt>
                <c:pt idx="85">
                  <c:v>479</c:v>
                </c:pt>
                <c:pt idx="86">
                  <c:v>484</c:v>
                </c:pt>
                <c:pt idx="87">
                  <c:v>489</c:v>
                </c:pt>
              </c:strCache>
            </c:strRef>
          </c:cat>
          <c:val>
            <c:numRef>
              <c:f>allineamento!$N$8:$N$114</c:f>
              <c:numCache>
                <c:formatCode>0.000%</c:formatCode>
                <c:ptCount val="107"/>
                <c:pt idx="0">
                  <c:v>-4.7106502817566938E-3</c:v>
                </c:pt>
                <c:pt idx="1">
                  <c:v>-1.4723655349753943E-3</c:v>
                </c:pt>
                <c:pt idx="2">
                  <c:v>8.9987848913135435E-4</c:v>
                </c:pt>
                <c:pt idx="3">
                  <c:v>2.6114208237839015E-3</c:v>
                </c:pt>
                <c:pt idx="4">
                  <c:v>3.8138904276468575E-3</c:v>
                </c:pt>
                <c:pt idx="5">
                  <c:v>4.6211506023395273E-3</c:v>
                </c:pt>
                <c:pt idx="6">
                  <c:v>5.1199487666410727E-3</c:v>
                </c:pt>
                <c:pt idx="7">
                  <c:v>5.3772046641463187E-3</c:v>
                </c:pt>
                <c:pt idx="8">
                  <c:v>5.4451053756669416E-3</c:v>
                </c:pt>
                <c:pt idx="9">
                  <c:v>5.3647347418595013E-3</c:v>
                </c:pt>
                <c:pt idx="10">
                  <c:v>5.1687024071891347E-3</c:v>
                </c:pt>
                <c:pt idx="11">
                  <c:v>4.8830769694677249E-3</c:v>
                </c:pt>
                <c:pt idx="12">
                  <c:v>4.5288267369873146E-3</c:v>
                </c:pt>
                <c:pt idx="13">
                  <c:v>4.1229066901083168E-3</c:v>
                </c:pt>
                <c:pt idx="14">
                  <c:v>3.6790876629208308E-3</c:v>
                </c:pt>
                <c:pt idx="15">
                  <c:v>3.20859530090104E-3</c:v>
                </c:pt>
                <c:pt idx="16">
                  <c:v>2.7206070042924799E-3</c:v>
                </c:pt>
                <c:pt idx="17">
                  <c:v>2.2226417106429668E-3</c:v>
                </c:pt>
                <c:pt idx="18">
                  <c:v>1.7208680168147674E-3</c:v>
                </c:pt>
                <c:pt idx="19">
                  <c:v>1.2203495046151478E-3</c:v>
                </c:pt>
                <c:pt idx="20">
                  <c:v>7.2524136827733555E-4</c:v>
                </c:pt>
                <c:pt idx="21">
                  <c:v>2.3894898060705731E-4</c:v>
                </c:pt>
                <c:pt idx="22">
                  <c:v>-2.357435058000433E-4</c:v>
                </c:pt>
                <c:pt idx="23">
                  <c:v>-6.9656830858594451E-4</c:v>
                </c:pt>
                <c:pt idx="24">
                  <c:v>-1.141688111274398E-3</c:v>
                </c:pt>
                <c:pt idx="25">
                  <c:v>-1.5696253609903555E-3</c:v>
                </c:pt>
                <c:pt idx="26">
                  <c:v>-1.9792038322602647E-3</c:v>
                </c:pt>
                <c:pt idx="27">
                  <c:v>-2.3695001395647032E-3</c:v>
                </c:pt>
                <c:pt idx="28">
                  <c:v>-2.7398033586203707E-3</c:v>
                </c:pt>
                <c:pt idx="29">
                  <c:v>-3.0895812871039657E-3</c:v>
                </c:pt>
                <c:pt idx="30">
                  <c:v>-3.4184521652903485E-3</c:v>
                </c:pt>
                <c:pt idx="31">
                  <c:v>-3.7261609049199602E-3</c:v>
                </c:pt>
                <c:pt idx="32">
                  <c:v>-4.0125590547704544E-3</c:v>
                </c:pt>
                <c:pt idx="33">
                  <c:v>-4.277587874655122E-3</c:v>
                </c:pt>
                <c:pt idx="34">
                  <c:v>-4.5212640039785775E-3</c:v>
                </c:pt>
                <c:pt idx="35">
                  <c:v>-4.743667302916939E-3</c:v>
                </c:pt>
                <c:pt idx="36">
                  <c:v>-4.9449305183761174E-3</c:v>
                </c:pt>
                <c:pt idx="37">
                  <c:v>-5.1252304869460596E-3</c:v>
                </c:pt>
                <c:pt idx="38">
                  <c:v>-5.2847806359249353E-3</c:v>
                </c:pt>
                <c:pt idx="39">
                  <c:v>-5.4238245833770739E-3</c:v>
                </c:pt>
                <c:pt idx="40">
                  <c:v>-5.5426306709189946E-3</c:v>
                </c:pt>
                <c:pt idx="41">
                  <c:v>-5.6414872898409669E-3</c:v>
                </c:pt>
                <c:pt idx="42">
                  <c:v>-5.7206988834035966E-3</c:v>
                </c:pt>
                <c:pt idx="43">
                  <c:v>-5.7805825265604864E-3</c:v>
                </c:pt>
                <c:pt idx="44">
                  <c:v>-5.8214649996836034E-3</c:v>
                </c:pt>
                <c:pt idx="45">
                  <c:v>-5.843680285604118E-3</c:v>
                </c:pt>
                <c:pt idx="46">
                  <c:v>-5.8475674299580385E-3</c:v>
                </c:pt>
                <c:pt idx="47">
                  <c:v>-5.8334687137921726E-3</c:v>
                </c:pt>
                <c:pt idx="48">
                  <c:v>-5.8017280948655285E-3</c:v>
                </c:pt>
                <c:pt idx="49">
                  <c:v>-5.7526898804524688E-3</c:v>
                </c:pt>
                <c:pt idx="50">
                  <c:v>-5.6866975997914857E-3</c:v>
                </c:pt>
                <c:pt idx="51">
                  <c:v>-5.6040930488685881E-3</c:v>
                </c:pt>
                <c:pt idx="52">
                  <c:v>-5.5052154840535784E-3</c:v>
                </c:pt>
                <c:pt idx="53">
                  <c:v>-5.3904009444096417E-3</c:v>
                </c:pt>
                <c:pt idx="54">
                  <c:v>-5.2599816852598536E-3</c:v>
                </c:pt>
                <c:pt idx="55">
                  <c:v>-5.1142857079955473E-3</c:v>
                </c:pt>
                <c:pt idx="56">
                  <c:v>-4.9536363731465518E-3</c:v>
                </c:pt>
                <c:pt idx="57">
                  <c:v>-4.7783520854766098E-3</c:v>
                </c:pt>
                <c:pt idx="58">
                  <c:v>-4.5887460413721985E-3</c:v>
                </c:pt>
                <c:pt idx="59">
                  <c:v>-4.3851260300914437E-3</c:v>
                </c:pt>
                <c:pt idx="60">
                  <c:v>-4.1677942815410759E-3</c:v>
                </c:pt>
                <c:pt idx="61">
                  <c:v>-3.937047354218114E-3</c:v>
                </c:pt>
                <c:pt idx="62">
                  <c:v>-3.6931760577724568E-3</c:v>
                </c:pt>
                <c:pt idx="63">
                  <c:v>-3.4364654053930565E-3</c:v>
                </c:pt>
                <c:pt idx="64">
                  <c:v>-3.1671945917957707E-3</c:v>
                </c:pt>
                <c:pt idx="65">
                  <c:v>-2.8856369931731618E-3</c:v>
                </c:pt>
                <c:pt idx="66">
                  <c:v>-2.59206018592619E-3</c:v>
                </c:pt>
                <c:pt idx="67">
                  <c:v>-2.2867259813802985E-3</c:v>
                </c:pt>
                <c:pt idx="68">
                  <c:v>-1.9698904740810086E-3</c:v>
                </c:pt>
                <c:pt idx="69">
                  <c:v>-1.6418041015469819E-3</c:v>
                </c:pt>
                <c:pt idx="70">
                  <c:v>-1.3027117136399017E-3</c:v>
                </c:pt>
                <c:pt idx="71">
                  <c:v>-9.5285264994271501E-4</c:v>
                </c:pt>
                <c:pt idx="72">
                  <c:v>-5.9246082375019658E-4</c:v>
                </c:pt>
                <c:pt idx="73">
                  <c:v>-2.21764811438746E-4</c:v>
                </c:pt>
                <c:pt idx="74">
                  <c:v>1.5901205383148863E-4</c:v>
                </c:pt>
                <c:pt idx="75">
                  <c:v>5.496515850190451E-4</c:v>
                </c:pt>
                <c:pt idx="76">
                  <c:v>9.4994064151334725E-4</c:v>
                </c:pt>
                <c:pt idx="77">
                  <c:v>1.3596710275405916E-3</c:v>
                </c:pt>
                <c:pt idx="78">
                  <c:v>1.7786393892900273E-3</c:v>
                </c:pt>
                <c:pt idx="79">
                  <c:v>2.2066471112632837E-3</c:v>
                </c:pt>
                <c:pt idx="80">
                  <c:v>2.6435002123163073E-3</c:v>
                </c:pt>
                <c:pt idx="81">
                  <c:v>3.0890092417653102E-3</c:v>
                </c:pt>
                <c:pt idx="82">
                  <c:v>3.5429891759095155E-3</c:v>
                </c:pt>
                <c:pt idx="83">
                  <c:v>4.0052593152443468E-3</c:v>
                </c:pt>
                <c:pt idx="84">
                  <c:v>4.4756431826092173E-3</c:v>
                </c:pt>
                <c:pt idx="85">
                  <c:v>4.9539684224789915E-3</c:v>
                </c:pt>
                <c:pt idx="86">
                  <c:v>5.4400667015740423E-3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75136"/>
        <c:axId val="180097792"/>
      </c:lineChart>
      <c:catAx>
        <c:axId val="180075136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Segoe Script"/>
                    <a:ea typeface="Segoe Script"/>
                    <a:cs typeface="Segoe Script"/>
                  </a:defRPr>
                </a:pPr>
                <a:r>
                  <a:rPr lang="it-IT"/>
                  <a:t>capacità in pF del condensatore variabile
</a:t>
                </a:r>
              </a:p>
            </c:rich>
          </c:tx>
          <c:layout>
            <c:manualLayout>
              <c:xMode val="edge"/>
              <c:yMode val="edge"/>
              <c:x val="0.22940192486937391"/>
              <c:y val="0.797198521865046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3175">
            <a:solidFill>
              <a:srgbClr val="FF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80097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009779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Segoe Script"/>
                    <a:ea typeface="Segoe Script"/>
                    <a:cs typeface="Segoe Script"/>
                  </a:defRPr>
                </a:pPr>
                <a:r>
                  <a:rPr lang="it-IT"/>
                  <a:t>Df/f
</a:t>
                </a:r>
              </a:p>
            </c:rich>
          </c:tx>
          <c:layout>
            <c:manualLayout>
              <c:xMode val="edge"/>
              <c:yMode val="edge"/>
              <c:x val="2.0512822027354251E-2"/>
              <c:y val="0.3615386580704503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%" sourceLinked="1"/>
        <c:majorTickMark val="out"/>
        <c:minorTickMark val="none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80075136"/>
        <c:crosses val="autoZero"/>
        <c:crossBetween val="between"/>
      </c:valAx>
      <c:spPr>
        <a:solidFill>
          <a:srgbClr val="CCCC00"/>
        </a:solidFill>
        <a:ln w="3175">
          <a:solidFill>
            <a:srgbClr val="B3B3B3"/>
          </a:solidFill>
          <a:prstDash val="solid"/>
        </a:ln>
      </c:spPr>
    </c:plotArea>
    <c:plotVisOnly val="0"/>
    <c:dispBlanksAs val="gap"/>
    <c:showDLblsOverMax val="0"/>
  </c:chart>
  <c:spPr>
    <a:solidFill>
      <a:srgbClr val="E6E6E6"/>
    </a:solidFill>
    <a:ln w="3175">
      <a:solidFill>
        <a:srgbClr val="000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122" r="0.75000000000000122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92096552447082E-2"/>
          <c:y val="0.11305173070586839"/>
          <c:w val="0.8918162880069791"/>
          <c:h val="0.85478743728462514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SUPERETERODINA!$W$2:$W$88</c:f>
              <c:numCache>
                <c:formatCode>0.00%</c:formatCode>
                <c:ptCount val="87"/>
                <c:pt idx="0">
                  <c:v>-4.7106502817566938E-3</c:v>
                </c:pt>
                <c:pt idx="1">
                  <c:v>-1.4723655349753943E-3</c:v>
                </c:pt>
                <c:pt idx="2">
                  <c:v>8.9987848913135435E-4</c:v>
                </c:pt>
                <c:pt idx="3">
                  <c:v>2.6114208237839015E-3</c:v>
                </c:pt>
                <c:pt idx="4">
                  <c:v>3.8138904276468575E-3</c:v>
                </c:pt>
                <c:pt idx="5">
                  <c:v>4.6211506023395273E-3</c:v>
                </c:pt>
                <c:pt idx="6">
                  <c:v>5.1199487666410727E-3</c:v>
                </c:pt>
                <c:pt idx="7">
                  <c:v>5.3772046641463187E-3</c:v>
                </c:pt>
                <c:pt idx="8">
                  <c:v>5.4451053756669416E-3</c:v>
                </c:pt>
                <c:pt idx="9">
                  <c:v>5.3647347418595013E-3</c:v>
                </c:pt>
                <c:pt idx="10">
                  <c:v>5.1687024071891347E-3</c:v>
                </c:pt>
                <c:pt idx="11">
                  <c:v>4.8830769694677249E-3</c:v>
                </c:pt>
                <c:pt idx="12">
                  <c:v>4.5288267369873146E-3</c:v>
                </c:pt>
                <c:pt idx="13">
                  <c:v>4.1229066901083168E-3</c:v>
                </c:pt>
                <c:pt idx="14">
                  <c:v>3.6790876629208308E-3</c:v>
                </c:pt>
                <c:pt idx="15">
                  <c:v>3.20859530090104E-3</c:v>
                </c:pt>
                <c:pt idx="16">
                  <c:v>2.7206070042924799E-3</c:v>
                </c:pt>
                <c:pt idx="17">
                  <c:v>2.2226417106429668E-3</c:v>
                </c:pt>
                <c:pt idx="18">
                  <c:v>1.7208680168147674E-3</c:v>
                </c:pt>
                <c:pt idx="19">
                  <c:v>1.2203495046151478E-3</c:v>
                </c:pt>
                <c:pt idx="20">
                  <c:v>7.2524136827733555E-4</c:v>
                </c:pt>
                <c:pt idx="21">
                  <c:v>2.3894898060705731E-4</c:v>
                </c:pt>
                <c:pt idx="22">
                  <c:v>-2.357435058000433E-4</c:v>
                </c:pt>
                <c:pt idx="23">
                  <c:v>-6.9656830858594451E-4</c:v>
                </c:pt>
                <c:pt idx="24">
                  <c:v>-1.141688111274398E-3</c:v>
                </c:pt>
                <c:pt idx="25">
                  <c:v>-1.5696253609903555E-3</c:v>
                </c:pt>
                <c:pt idx="26">
                  <c:v>-1.9792038322602647E-3</c:v>
                </c:pt>
                <c:pt idx="27">
                  <c:v>-2.3695001395647032E-3</c:v>
                </c:pt>
                <c:pt idx="28">
                  <c:v>-2.7398033586203707E-3</c:v>
                </c:pt>
                <c:pt idx="29">
                  <c:v>-3.0895812871039657E-3</c:v>
                </c:pt>
                <c:pt idx="30">
                  <c:v>-3.4184521652903485E-3</c:v>
                </c:pt>
                <c:pt idx="31">
                  <c:v>-3.7261609049199602E-3</c:v>
                </c:pt>
                <c:pt idx="32">
                  <c:v>-4.0125590547704544E-3</c:v>
                </c:pt>
                <c:pt idx="33">
                  <c:v>-4.277587874655122E-3</c:v>
                </c:pt>
                <c:pt idx="34">
                  <c:v>-4.5212640039785775E-3</c:v>
                </c:pt>
                <c:pt idx="35">
                  <c:v>-4.743667302916939E-3</c:v>
                </c:pt>
                <c:pt idx="36">
                  <c:v>-4.9449305183761174E-3</c:v>
                </c:pt>
                <c:pt idx="37">
                  <c:v>-5.1252304869460596E-3</c:v>
                </c:pt>
                <c:pt idx="38">
                  <c:v>-5.2847806359249353E-3</c:v>
                </c:pt>
                <c:pt idx="39">
                  <c:v>-5.4238245833770739E-3</c:v>
                </c:pt>
                <c:pt idx="40">
                  <c:v>-5.5426306709189946E-3</c:v>
                </c:pt>
                <c:pt idx="41">
                  <c:v>-5.6414872898409669E-3</c:v>
                </c:pt>
                <c:pt idx="42">
                  <c:v>-5.7206988834035966E-3</c:v>
                </c:pt>
                <c:pt idx="43">
                  <c:v>-5.7805825265604864E-3</c:v>
                </c:pt>
                <c:pt idx="44">
                  <c:v>-5.8214649996836034E-3</c:v>
                </c:pt>
                <c:pt idx="45">
                  <c:v>-5.843680285604118E-3</c:v>
                </c:pt>
                <c:pt idx="46">
                  <c:v>-5.8475674299580385E-3</c:v>
                </c:pt>
                <c:pt idx="47">
                  <c:v>-5.8334687137921726E-3</c:v>
                </c:pt>
                <c:pt idx="48">
                  <c:v>-5.8017280948655285E-3</c:v>
                </c:pt>
                <c:pt idx="49">
                  <c:v>-5.7526898804524688E-3</c:v>
                </c:pt>
                <c:pt idx="50">
                  <c:v>-5.6866975997914857E-3</c:v>
                </c:pt>
                <c:pt idx="51">
                  <c:v>-5.6040930488685881E-3</c:v>
                </c:pt>
                <c:pt idx="52">
                  <c:v>-5.5052154840535784E-3</c:v>
                </c:pt>
                <c:pt idx="53">
                  <c:v>-5.3904009444096417E-3</c:v>
                </c:pt>
                <c:pt idx="54">
                  <c:v>-5.2599816852598536E-3</c:v>
                </c:pt>
                <c:pt idx="55">
                  <c:v>-5.1142857079955473E-3</c:v>
                </c:pt>
                <c:pt idx="56">
                  <c:v>-4.9536363731465518E-3</c:v>
                </c:pt>
                <c:pt idx="57">
                  <c:v>-4.7783520854766098E-3</c:v>
                </c:pt>
                <c:pt idx="58">
                  <c:v>-4.5887460413721985E-3</c:v>
                </c:pt>
                <c:pt idx="59">
                  <c:v>-4.3851260300914437E-3</c:v>
                </c:pt>
                <c:pt idx="60">
                  <c:v>-4.1677942815410759E-3</c:v>
                </c:pt>
                <c:pt idx="61">
                  <c:v>-3.937047354218114E-3</c:v>
                </c:pt>
                <c:pt idx="62">
                  <c:v>-3.6931760577724568E-3</c:v>
                </c:pt>
                <c:pt idx="63">
                  <c:v>-3.4364654053930565E-3</c:v>
                </c:pt>
                <c:pt idx="64">
                  <c:v>-3.1671945917957707E-3</c:v>
                </c:pt>
                <c:pt idx="65">
                  <c:v>-2.8856369931731618E-3</c:v>
                </c:pt>
                <c:pt idx="66">
                  <c:v>-2.59206018592619E-3</c:v>
                </c:pt>
                <c:pt idx="67">
                  <c:v>-2.2867259813802985E-3</c:v>
                </c:pt>
                <c:pt idx="68">
                  <c:v>-1.9698904740810086E-3</c:v>
                </c:pt>
                <c:pt idx="69">
                  <c:v>-1.6418041015469819E-3</c:v>
                </c:pt>
                <c:pt idx="70">
                  <c:v>-1.3027117136399017E-3</c:v>
                </c:pt>
                <c:pt idx="71">
                  <c:v>-9.5285264994271501E-4</c:v>
                </c:pt>
                <c:pt idx="72">
                  <c:v>-5.9246082375019658E-4</c:v>
                </c:pt>
                <c:pt idx="73">
                  <c:v>-2.21764811438746E-4</c:v>
                </c:pt>
                <c:pt idx="74">
                  <c:v>1.5901205383148863E-4</c:v>
                </c:pt>
                <c:pt idx="75">
                  <c:v>5.496515850190451E-4</c:v>
                </c:pt>
                <c:pt idx="76">
                  <c:v>9.4994064151334725E-4</c:v>
                </c:pt>
                <c:pt idx="77">
                  <c:v>1.3596710275405916E-3</c:v>
                </c:pt>
                <c:pt idx="78">
                  <c:v>1.7786393892900273E-3</c:v>
                </c:pt>
                <c:pt idx="79">
                  <c:v>2.2066471112632837E-3</c:v>
                </c:pt>
                <c:pt idx="80">
                  <c:v>2.6435002123163073E-3</c:v>
                </c:pt>
                <c:pt idx="81">
                  <c:v>3.0890092417653102E-3</c:v>
                </c:pt>
                <c:pt idx="82">
                  <c:v>3.5429891759095155E-3</c:v>
                </c:pt>
                <c:pt idx="83">
                  <c:v>4.0052593152443468E-3</c:v>
                </c:pt>
                <c:pt idx="84">
                  <c:v>4.4756431826092173E-3</c:v>
                </c:pt>
                <c:pt idx="85">
                  <c:v>4.9539684224789915E-3</c:v>
                </c:pt>
                <c:pt idx="86">
                  <c:v>5.4400667015740423E-3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373696"/>
        <c:axId val="239387776"/>
      </c:lineChart>
      <c:catAx>
        <c:axId val="239373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39387776"/>
        <c:crosses val="autoZero"/>
        <c:auto val="1"/>
        <c:lblAlgn val="ctr"/>
        <c:lblOffset val="100"/>
        <c:noMultiLvlLbl val="0"/>
      </c:catAx>
      <c:valAx>
        <c:axId val="2393877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39373696"/>
        <c:crosses val="autoZero"/>
        <c:crossBetween val="between"/>
      </c:valAx>
      <c:spPr>
        <a:solidFill>
          <a:schemeClr val="accent5">
            <a:lumMod val="60000"/>
            <a:lumOff val="40000"/>
          </a:schemeClr>
        </a:solidFill>
      </c:spPr>
    </c:plotArea>
    <c:plotVisOnly val="1"/>
    <c:dispBlanksAs val="zero"/>
    <c:showDLblsOverMax val="0"/>
  </c:chart>
  <c:txPr>
    <a:bodyPr/>
    <a:lstStyle/>
    <a:p>
      <a:pPr>
        <a:defRPr>
          <a:solidFill>
            <a:schemeClr val="accent3">
              <a:lumMod val="75000"/>
            </a:schemeClr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18</xdr:row>
      <xdr:rowOff>114300</xdr:rowOff>
    </xdr:from>
    <xdr:to>
      <xdr:col>20</xdr:col>
      <xdr:colOff>133350</xdr:colOff>
      <xdr:row>44</xdr:row>
      <xdr:rowOff>95250</xdr:rowOff>
    </xdr:to>
    <xdr:pic>
      <xdr:nvPicPr>
        <xdr:cNvPr id="2099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5875" y="4267200"/>
          <a:ext cx="3143250" cy="4191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85726</xdr:rowOff>
    </xdr:from>
    <xdr:to>
      <xdr:col>12</xdr:col>
      <xdr:colOff>114300</xdr:colOff>
      <xdr:row>34</xdr:row>
      <xdr:rowOff>76200</xdr:rowOff>
    </xdr:to>
    <xdr:graphicFrame macro="">
      <xdr:nvGraphicFramePr>
        <xdr:cNvPr id="210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371476</xdr:colOff>
      <xdr:row>1</xdr:row>
      <xdr:rowOff>219075</xdr:rowOff>
    </xdr:from>
    <xdr:to>
      <xdr:col>4</xdr:col>
      <xdr:colOff>504825</xdr:colOff>
      <xdr:row>3</xdr:row>
      <xdr:rowOff>47625</xdr:rowOff>
    </xdr:to>
    <xdr:cxnSp macro="">
      <xdr:nvCxnSpPr>
        <xdr:cNvPr id="4" name="Connettore 2 3"/>
        <xdr:cNvCxnSpPr/>
      </xdr:nvCxnSpPr>
      <xdr:spPr bwMode="auto">
        <a:xfrm flipH="1">
          <a:off x="6200776" y="809625"/>
          <a:ext cx="133349" cy="419100"/>
        </a:xfrm>
        <a:prstGeom prst="straightConnector1">
          <a:avLst/>
        </a:prstGeom>
        <a:solidFill>
          <a:srgbClr val="E6E6E6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12</xdr:col>
      <xdr:colOff>38100</xdr:colOff>
      <xdr:row>1</xdr:row>
      <xdr:rowOff>257175</xdr:rowOff>
    </xdr:from>
    <xdr:to>
      <xdr:col>12</xdr:col>
      <xdr:colOff>180975</xdr:colOff>
      <xdr:row>3</xdr:row>
      <xdr:rowOff>123825</xdr:rowOff>
    </xdr:to>
    <xdr:cxnSp macro="">
      <xdr:nvCxnSpPr>
        <xdr:cNvPr id="6" name="Connettore 2 5"/>
        <xdr:cNvCxnSpPr/>
      </xdr:nvCxnSpPr>
      <xdr:spPr bwMode="auto">
        <a:xfrm flipH="1">
          <a:off x="9563100" y="847725"/>
          <a:ext cx="142875" cy="457200"/>
        </a:xfrm>
        <a:prstGeom prst="straightConnector1">
          <a:avLst/>
        </a:prstGeom>
        <a:solidFill>
          <a:srgbClr val="E6E6E6"/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447675</xdr:colOff>
      <xdr:row>4</xdr:row>
      <xdr:rowOff>257175</xdr:rowOff>
    </xdr:from>
    <xdr:to>
      <xdr:col>11</xdr:col>
      <xdr:colOff>19051</xdr:colOff>
      <xdr:row>6</xdr:row>
      <xdr:rowOff>190500</xdr:rowOff>
    </xdr:to>
    <xdr:cxnSp macro="">
      <xdr:nvCxnSpPr>
        <xdr:cNvPr id="9" name="Connettore 2 8"/>
        <xdr:cNvCxnSpPr/>
      </xdr:nvCxnSpPr>
      <xdr:spPr bwMode="auto">
        <a:xfrm flipH="1" flipV="1">
          <a:off x="6886575" y="4467225"/>
          <a:ext cx="1981201" cy="428625"/>
        </a:xfrm>
        <a:prstGeom prst="straightConnector1">
          <a:avLst/>
        </a:pr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371475</xdr:colOff>
      <xdr:row>6</xdr:row>
      <xdr:rowOff>257175</xdr:rowOff>
    </xdr:from>
    <xdr:to>
      <xdr:col>11</xdr:col>
      <xdr:colOff>38100</xdr:colOff>
      <xdr:row>8</xdr:row>
      <xdr:rowOff>219075</xdr:rowOff>
    </xdr:to>
    <xdr:cxnSp macro="">
      <xdr:nvCxnSpPr>
        <xdr:cNvPr id="11" name="Connettore 2 10"/>
        <xdr:cNvCxnSpPr/>
      </xdr:nvCxnSpPr>
      <xdr:spPr bwMode="auto">
        <a:xfrm flipH="1" flipV="1">
          <a:off x="6810375" y="4962525"/>
          <a:ext cx="2076450" cy="457200"/>
        </a:xfrm>
        <a:prstGeom prst="straightConnector1">
          <a:avLst/>
        </a:pr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0</xdr:colOff>
      <xdr:row>26</xdr:row>
      <xdr:rowOff>19051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752725" cy="7696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5</xdr:row>
      <xdr:rowOff>66675</xdr:rowOff>
    </xdr:from>
    <xdr:to>
      <xdr:col>19</xdr:col>
      <xdr:colOff>104775</xdr:colOff>
      <xdr:row>19</xdr:row>
      <xdr:rowOff>28575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5</xdr:row>
      <xdr:rowOff>76200</xdr:rowOff>
    </xdr:from>
    <xdr:to>
      <xdr:col>8</xdr:col>
      <xdr:colOff>342900</xdr:colOff>
      <xdr:row>19</xdr:row>
      <xdr:rowOff>9525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57225"/>
          <a:ext cx="4657725" cy="263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31"/>
  <sheetViews>
    <sheetView workbookViewId="0">
      <selection activeCell="C37" sqref="C37"/>
    </sheetView>
  </sheetViews>
  <sheetFormatPr defaultColWidth="28.28515625" defaultRowHeight="12.75"/>
  <cols>
    <col min="1" max="5" width="28.28515625" style="64" customWidth="1"/>
    <col min="6" max="16384" width="28.28515625" style="64"/>
  </cols>
  <sheetData>
    <row r="1" spans="1:9">
      <c r="A1" s="61"/>
      <c r="B1" s="62"/>
      <c r="C1" s="62"/>
      <c r="D1" s="62"/>
      <c r="E1" s="63"/>
    </row>
    <row r="2" spans="1:9" ht="20.25">
      <c r="A2" s="65"/>
      <c r="B2" s="66"/>
      <c r="C2" s="66"/>
      <c r="D2" s="67" t="s">
        <v>0</v>
      </c>
      <c r="E2" s="68"/>
    </row>
    <row r="3" spans="1:9">
      <c r="A3" s="65"/>
      <c r="B3" s="69" t="s">
        <v>1</v>
      </c>
      <c r="C3" s="70">
        <f>allineamento!T4*1000000</f>
        <v>450000</v>
      </c>
      <c r="D3" s="69"/>
      <c r="E3" s="71"/>
    </row>
    <row r="4" spans="1:9">
      <c r="A4" s="65"/>
      <c r="B4" s="69" t="s">
        <v>2</v>
      </c>
      <c r="C4" s="70">
        <f>allineamento!P4*1000000</f>
        <v>500000</v>
      </c>
      <c r="D4" s="69"/>
      <c r="E4" s="71"/>
    </row>
    <row r="5" spans="1:9">
      <c r="A5" s="65"/>
      <c r="B5" s="69" t="s">
        <v>3</v>
      </c>
      <c r="C5" s="70">
        <f>allineamento!Q4*1000000</f>
        <v>1500000</v>
      </c>
      <c r="D5" s="69"/>
      <c r="E5" s="71"/>
    </row>
    <row r="6" spans="1:9">
      <c r="A6" s="65"/>
      <c r="B6" s="69" t="s">
        <v>4</v>
      </c>
      <c r="C6" s="128">
        <f>INPUT1!I18</f>
        <v>53.75</v>
      </c>
      <c r="D6" s="69"/>
      <c r="E6" s="73">
        <f>C6/1000000000000</f>
        <v>5.3750000000000002E-11</v>
      </c>
    </row>
    <row r="7" spans="1:9">
      <c r="A7" s="65"/>
      <c r="B7" s="69" t="s">
        <v>5</v>
      </c>
      <c r="C7" s="128">
        <f>INPUT1!L18</f>
        <v>483.75</v>
      </c>
      <c r="D7" s="69"/>
      <c r="E7" s="73">
        <f>C7/1000000000000</f>
        <v>4.8375000000000001E-10</v>
      </c>
    </row>
    <row r="8" spans="1:9">
      <c r="A8" s="65"/>
      <c r="B8" s="69" t="s">
        <v>6</v>
      </c>
      <c r="C8" s="72">
        <f>C5/C4</f>
        <v>3</v>
      </c>
      <c r="D8" s="69"/>
      <c r="E8" s="71"/>
    </row>
    <row r="9" spans="1:9">
      <c r="A9" s="65"/>
      <c r="B9" s="69"/>
      <c r="C9" s="69"/>
      <c r="D9" s="69"/>
      <c r="E9" s="71"/>
    </row>
    <row r="10" spans="1:9">
      <c r="A10" s="65"/>
      <c r="B10" s="69"/>
      <c r="C10" s="69"/>
      <c r="D10" s="69"/>
      <c r="E10" s="71"/>
    </row>
    <row r="11" spans="1:9">
      <c r="A11" s="65"/>
      <c r="B11" s="69"/>
      <c r="C11" s="69"/>
      <c r="D11" s="69"/>
      <c r="E11" s="71"/>
    </row>
    <row r="12" spans="1:9">
      <c r="A12" s="65"/>
      <c r="B12" s="69" t="s">
        <v>7</v>
      </c>
      <c r="C12" s="72">
        <f>((POWER(C4,2)*C7)-(POWER(C5,2)*C6))/(POWER(C5,2)-POWER(C4,2))</f>
        <v>0</v>
      </c>
      <c r="D12" s="69" t="s">
        <v>8</v>
      </c>
      <c r="E12" s="71"/>
    </row>
    <row r="13" spans="1:9">
      <c r="A13" s="65"/>
      <c r="B13" s="69" t="s">
        <v>9</v>
      </c>
      <c r="C13" s="72">
        <f>((POWER(C17,2)*C20*C24)-(POWER(C18,2)*C21*C25)+(POWER(C19,2)*C22*C23))/((POWER(C18,2)*C25)-(POWER(C17,2)*C24)-(POWER(C19,2)*C23))</f>
        <v>13.060354277853612</v>
      </c>
      <c r="D13" s="69" t="s">
        <v>8</v>
      </c>
      <c r="E13" s="71"/>
    </row>
    <row r="14" spans="1:9">
      <c r="A14" s="65"/>
      <c r="B14" s="69" t="s">
        <v>10</v>
      </c>
      <c r="C14" s="72">
        <f>(C26*C23*C24*C25*C27*C28)/((C29*C24+POWER(C18,2)*C23-POWER(C19,2)*C25)*(POWER(C18,2)*C25-POWER(C19,2)*C23-POWER(C17,2)*C24))</f>
        <v>478.89249620868139</v>
      </c>
      <c r="D14" s="69" t="s">
        <v>8</v>
      </c>
      <c r="E14" s="71"/>
      <c r="I14" s="64" t="s">
        <v>11</v>
      </c>
    </row>
    <row r="15" spans="1:9">
      <c r="A15" s="65"/>
      <c r="B15" s="69" t="s">
        <v>12</v>
      </c>
      <c r="C15" s="74">
        <f>((POWER(C5,2)-POWER(C4,2))/(4*POWER(PI(),2)*POWER(C5,2)*POWER(C4,2)*(E7-E6)))*1000000</f>
        <v>209.44947522963884</v>
      </c>
      <c r="D15" s="75" t="s">
        <v>13</v>
      </c>
      <c r="E15" s="71"/>
    </row>
    <row r="16" spans="1:9">
      <c r="A16" s="65"/>
      <c r="B16" s="69" t="s">
        <v>14</v>
      </c>
      <c r="C16" s="74">
        <f>((POWER((POWER(C18,2)*C25-POWER(C17,2)*C24-POWER(C19,2)*C23),2))/(4*POWER(PI(),2)*C23*C24*C25*(POWER(C19,2)-POWER(C17,2))*(POWER(C19,2)-POWER(C18,2))*(POWER(C18,2)-POWER(C17,2)))*1000000000000000000)</f>
        <v>114.44546061416881</v>
      </c>
      <c r="D16" s="75" t="s">
        <v>13</v>
      </c>
      <c r="E16" s="71"/>
    </row>
    <row r="17" spans="1:5">
      <c r="A17" s="65"/>
      <c r="B17" s="69" t="s">
        <v>15</v>
      </c>
      <c r="C17" s="70">
        <f>(C4*POWER(C8,(1/16)))+C3</f>
        <v>985537.74153645732</v>
      </c>
      <c r="D17" s="69" t="s">
        <v>16</v>
      </c>
      <c r="E17" s="71"/>
    </row>
    <row r="18" spans="1:5">
      <c r="A18" s="65"/>
      <c r="B18" s="69" t="s">
        <v>17</v>
      </c>
      <c r="C18" s="70">
        <f>(C4*POWER(C8,(1/2)))+C3</f>
        <v>1316025.4037844385</v>
      </c>
      <c r="D18" s="69" t="s">
        <v>16</v>
      </c>
      <c r="E18" s="71"/>
    </row>
    <row r="19" spans="1:5">
      <c r="A19" s="65"/>
      <c r="B19" s="69" t="s">
        <v>18</v>
      </c>
      <c r="C19" s="70">
        <f>(C4*POWER(C8,(15/16))+C3)</f>
        <v>1850461.5208785301</v>
      </c>
      <c r="D19" s="69" t="s">
        <v>16</v>
      </c>
      <c r="E19" s="71"/>
    </row>
    <row r="20" spans="1:5">
      <c r="A20" s="65"/>
      <c r="B20" s="69" t="s">
        <v>19</v>
      </c>
      <c r="C20" s="70">
        <f>((POWER(C5,2)/(POWER((C17-C3),2))*(C6+C12))-C12)</f>
        <v>421.67788136420199</v>
      </c>
      <c r="D20" s="69" t="s">
        <v>8</v>
      </c>
      <c r="E20" s="71"/>
    </row>
    <row r="21" spans="1:5">
      <c r="A21" s="65"/>
      <c r="B21" s="69" t="s">
        <v>20</v>
      </c>
      <c r="C21" s="70">
        <f>((POWER(C5,2)/(POWER((C18-C3),2))*(C6+C12))-C12)</f>
        <v>161.25000000000006</v>
      </c>
      <c r="D21" s="69" t="s">
        <v>8</v>
      </c>
      <c r="E21" s="71"/>
    </row>
    <row r="22" spans="1:5">
      <c r="A22" s="65"/>
      <c r="B22" s="69" t="s">
        <v>21</v>
      </c>
      <c r="C22" s="70">
        <f>((POWER(C5,2)/(POWER((C19-C3),2))*(C6+C12))-C12)</f>
        <v>61.662144611143383</v>
      </c>
      <c r="D22" s="69" t="s">
        <v>8</v>
      </c>
      <c r="E22" s="71"/>
    </row>
    <row r="23" spans="1:5">
      <c r="A23" s="65"/>
      <c r="B23" s="69" t="s">
        <v>22</v>
      </c>
      <c r="C23" s="70">
        <f>C20-C21</f>
        <v>260.42788136420194</v>
      </c>
      <c r="D23" s="69" t="s">
        <v>8</v>
      </c>
      <c r="E23" s="71"/>
    </row>
    <row r="24" spans="1:5">
      <c r="A24" s="65"/>
      <c r="B24" s="69" t="s">
        <v>23</v>
      </c>
      <c r="C24" s="70">
        <f>C21-C22</f>
        <v>99.587855388856667</v>
      </c>
      <c r="D24" s="69" t="s">
        <v>8</v>
      </c>
      <c r="E24" s="71"/>
    </row>
    <row r="25" spans="1:5">
      <c r="A25" s="65"/>
      <c r="B25" s="69" t="s">
        <v>24</v>
      </c>
      <c r="C25" s="70">
        <f>C20-C22</f>
        <v>360.0157367530586</v>
      </c>
      <c r="D25" s="69" t="s">
        <v>8</v>
      </c>
      <c r="E25" s="71"/>
    </row>
    <row r="26" spans="1:5">
      <c r="A26" s="65"/>
      <c r="B26" s="69" t="s">
        <v>25</v>
      </c>
      <c r="C26" s="72">
        <f>(POWER(C18,2)/POWER(C17,2))-1</f>
        <v>0.78312596750100649</v>
      </c>
      <c r="D26" s="69"/>
      <c r="E26" s="71"/>
    </row>
    <row r="27" spans="1:5">
      <c r="A27" s="65"/>
      <c r="B27" s="69" t="s">
        <v>26</v>
      </c>
      <c r="C27" s="70">
        <f>POWER(C19,2)-POWER(C17,2)</f>
        <v>2452923200259.3018</v>
      </c>
      <c r="D27" s="69"/>
      <c r="E27" s="71"/>
    </row>
    <row r="28" spans="1:5">
      <c r="A28" s="65"/>
      <c r="B28" s="69" t="s">
        <v>27</v>
      </c>
      <c r="C28" s="70">
        <f>POWER(C19,2)-POWER(C18,2)</f>
        <v>1692284976846.0881</v>
      </c>
      <c r="D28" s="69"/>
      <c r="E28" s="71"/>
    </row>
    <row r="29" spans="1:5">
      <c r="A29" s="65"/>
      <c r="B29" s="69" t="s">
        <v>28</v>
      </c>
      <c r="C29" s="70">
        <f>POWER(C19,2)*POWER(C18,2)/POWER(C17,2)</f>
        <v>6105793918074.0264</v>
      </c>
      <c r="D29" s="69"/>
      <c r="E29" s="71"/>
    </row>
    <row r="30" spans="1:5">
      <c r="A30" s="65"/>
      <c r="B30" s="66"/>
      <c r="C30" s="66"/>
      <c r="D30" s="66"/>
      <c r="E30" s="68"/>
    </row>
    <row r="31" spans="1:5">
      <c r="A31" s="76"/>
      <c r="B31" s="77"/>
      <c r="C31" s="77"/>
      <c r="D31" s="77"/>
      <c r="E31" s="78"/>
    </row>
  </sheetData>
  <sheetProtection password="CDDE" sheet="1" objects="1" scenario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IU224"/>
  <sheetViews>
    <sheetView workbookViewId="0">
      <pane ySplit="4" topLeftCell="A5" activePane="bottomLeft" state="frozen"/>
      <selection activeCell="J14" sqref="J14"/>
      <selection pane="bottomLeft" activeCell="P7" sqref="P7"/>
    </sheetView>
  </sheetViews>
  <sheetFormatPr defaultRowHeight="12.75"/>
  <cols>
    <col min="1" max="1" width="8.42578125" style="2" customWidth="1"/>
    <col min="2" max="3" width="5.140625" style="3" customWidth="1"/>
    <col min="4" max="6" width="10.28515625" style="4" customWidth="1"/>
    <col min="7" max="7" width="10.28515625" style="2" customWidth="1"/>
    <col min="8" max="10" width="10.28515625" style="4" customWidth="1"/>
    <col min="11" max="11" width="10.28515625" style="5" customWidth="1"/>
    <col min="12" max="13" width="10.28515625" style="4" customWidth="1"/>
    <col min="14" max="14" width="7.5703125" style="6" customWidth="1"/>
    <col min="15" max="15" width="3.28515625" style="4" customWidth="1"/>
    <col min="16" max="19" width="8.42578125" style="4" customWidth="1"/>
    <col min="20" max="255" width="9" style="4" customWidth="1"/>
  </cols>
  <sheetData>
    <row r="1" spans="1:24" ht="23.85" customHeight="1" thickBot="1">
      <c r="D1" s="195" t="s">
        <v>29</v>
      </c>
      <c r="E1" s="195"/>
      <c r="F1" s="195"/>
      <c r="G1" s="196" t="s">
        <v>30</v>
      </c>
      <c r="H1" s="196"/>
      <c r="I1" s="196"/>
      <c r="K1" s="4"/>
      <c r="L1" s="5"/>
      <c r="M1" s="5"/>
      <c r="N1" s="5"/>
      <c r="O1" s="5"/>
      <c r="P1" s="5"/>
    </row>
    <row r="2" spans="1:24" ht="30.95" customHeight="1" thickTop="1" thickBot="1">
      <c r="D2" s="7" t="s">
        <v>31</v>
      </c>
      <c r="E2" s="79">
        <f>P18</f>
        <v>0</v>
      </c>
      <c r="F2" s="8" t="s">
        <v>8</v>
      </c>
      <c r="G2" s="9" t="s">
        <v>32</v>
      </c>
      <c r="H2" s="81">
        <f>R14</f>
        <v>478.89249620868139</v>
      </c>
      <c r="I2" s="10" t="s">
        <v>8</v>
      </c>
      <c r="K2" s="59" t="s">
        <v>52</v>
      </c>
      <c r="L2" s="59" t="s">
        <v>53</v>
      </c>
      <c r="M2" s="5"/>
      <c r="N2" s="5"/>
      <c r="O2" s="5"/>
      <c r="P2" s="11" t="s">
        <v>33</v>
      </c>
      <c r="Q2" s="11" t="s">
        <v>34</v>
      </c>
      <c r="R2" s="11" t="s">
        <v>35</v>
      </c>
      <c r="S2" s="11" t="s">
        <v>36</v>
      </c>
      <c r="T2" s="11" t="s">
        <v>37</v>
      </c>
    </row>
    <row r="3" spans="1:24" ht="30.95" customHeight="1" thickTop="1" thickBot="1">
      <c r="D3" s="12" t="s">
        <v>38</v>
      </c>
      <c r="E3" s="80">
        <f>P14</f>
        <v>0</v>
      </c>
      <c r="F3" s="13" t="s">
        <v>8</v>
      </c>
      <c r="G3" s="14" t="s">
        <v>39</v>
      </c>
      <c r="H3" s="80">
        <f>Q14</f>
        <v>13.060354277853612</v>
      </c>
      <c r="I3" s="15" t="s">
        <v>8</v>
      </c>
      <c r="J3" s="16"/>
      <c r="K3" s="60">
        <f>300000000/(Q4*1000000)</f>
        <v>200</v>
      </c>
      <c r="L3" s="60">
        <f>300000000/(P4*1000000)</f>
        <v>600</v>
      </c>
      <c r="M3" s="5"/>
      <c r="N3" s="5"/>
      <c r="O3" s="5"/>
      <c r="P3" s="17" t="s">
        <v>40</v>
      </c>
      <c r="Q3" s="17" t="s">
        <v>40</v>
      </c>
      <c r="R3" s="17" t="s">
        <v>8</v>
      </c>
      <c r="S3" s="17" t="s">
        <v>8</v>
      </c>
      <c r="T3" s="17" t="s">
        <v>40</v>
      </c>
    </row>
    <row r="4" spans="1:24" ht="32.1" customHeight="1" thickTop="1">
      <c r="D4" s="102"/>
      <c r="E4" s="103"/>
      <c r="F4" s="104"/>
      <c r="G4" s="14" t="s">
        <v>41</v>
      </c>
      <c r="H4" s="80">
        <f>Q18</f>
        <v>0</v>
      </c>
      <c r="I4" s="15" t="s">
        <v>8</v>
      </c>
      <c r="J4" s="16"/>
      <c r="L4" s="5"/>
      <c r="M4" s="18"/>
      <c r="N4" s="5"/>
      <c r="O4" s="5"/>
      <c r="P4" s="108">
        <f>INPUT1!L12</f>
        <v>0.5</v>
      </c>
      <c r="Q4" s="108">
        <f>INPUT1!P12</f>
        <v>1.5</v>
      </c>
      <c r="R4" s="109">
        <f>INPUT1!I18</f>
        <v>53.75</v>
      </c>
      <c r="S4" s="109">
        <f>INPUT1!L18</f>
        <v>483.75</v>
      </c>
      <c r="T4" s="110">
        <f>INPUT1!D9</f>
        <v>0.45</v>
      </c>
    </row>
    <row r="5" spans="1:24" ht="26.1" customHeight="1">
      <c r="A5" s="87" t="s">
        <v>5</v>
      </c>
      <c r="B5" s="88">
        <f>S4</f>
        <v>483.75</v>
      </c>
      <c r="C5" s="89" t="s">
        <v>8</v>
      </c>
      <c r="D5" s="197" t="s">
        <v>42</v>
      </c>
      <c r="E5" s="194" t="s">
        <v>43</v>
      </c>
      <c r="F5" s="194" t="s">
        <v>44</v>
      </c>
      <c r="G5" s="194" t="s">
        <v>45</v>
      </c>
      <c r="H5" s="194" t="s">
        <v>46</v>
      </c>
      <c r="I5" s="198" t="s">
        <v>47</v>
      </c>
      <c r="J5" s="194" t="s">
        <v>54</v>
      </c>
      <c r="K5" s="54">
        <f>MIN(N8:N114)</f>
        <v>-5.8475674299580385E-3</v>
      </c>
      <c r="L5" s="54">
        <f>MAX(N8:N114)</f>
        <v>5.4451053756669416E-3</v>
      </c>
      <c r="M5" s="55"/>
      <c r="N5" s="56"/>
      <c r="O5" s="55"/>
      <c r="P5" s="183"/>
      <c r="Q5" s="5"/>
      <c r="R5" s="5"/>
      <c r="S5" s="5"/>
      <c r="T5" s="5"/>
      <c r="U5" s="18"/>
      <c r="V5" s="18"/>
      <c r="W5" s="18"/>
      <c r="X5" s="18"/>
    </row>
    <row r="6" spans="1:24" ht="25.35" customHeight="1">
      <c r="A6" s="90" t="s">
        <v>4</v>
      </c>
      <c r="B6" s="88">
        <f>R4</f>
        <v>53.75</v>
      </c>
      <c r="C6" s="90" t="s">
        <v>8</v>
      </c>
      <c r="D6" s="197"/>
      <c r="E6" s="197"/>
      <c r="F6" s="197"/>
      <c r="G6" s="194"/>
      <c r="H6" s="194"/>
      <c r="I6" s="198"/>
      <c r="J6" s="194"/>
      <c r="K6" s="54">
        <f>ABS(K5)</f>
        <v>5.8475674299580385E-3</v>
      </c>
      <c r="L6" s="54">
        <f>ABS(L5)</f>
        <v>5.4451053756669416E-3</v>
      </c>
      <c r="M6" s="54"/>
      <c r="N6" s="57">
        <f>MAX(K6:L6)</f>
        <v>5.8475674299580385E-3</v>
      </c>
      <c r="O6" s="58"/>
      <c r="P6" s="183" t="str">
        <f>IF(OR(E3&lt;-0.1,H3&lt;-0.1),"riprova","OK")</f>
        <v>OK</v>
      </c>
      <c r="Q6" s="5"/>
      <c r="R6" s="5"/>
      <c r="S6" s="5"/>
      <c r="T6" s="5"/>
    </row>
    <row r="7" spans="1:24" ht="20.85" customHeight="1">
      <c r="A7" s="91" t="s">
        <v>48</v>
      </c>
      <c r="B7" s="91" t="s">
        <v>8</v>
      </c>
      <c r="C7" s="91" t="s">
        <v>8</v>
      </c>
      <c r="D7" s="91" t="s">
        <v>8</v>
      </c>
      <c r="E7" s="105" t="s">
        <v>55</v>
      </c>
      <c r="F7" s="101" t="s">
        <v>40</v>
      </c>
      <c r="G7" s="91" t="s">
        <v>8</v>
      </c>
      <c r="H7" s="105" t="s">
        <v>55</v>
      </c>
      <c r="I7" s="91" t="s">
        <v>40</v>
      </c>
      <c r="J7" s="91" t="s">
        <v>40</v>
      </c>
      <c r="K7" s="88" t="s">
        <v>49</v>
      </c>
      <c r="L7" s="88" t="s">
        <v>40</v>
      </c>
      <c r="M7" s="88" t="s">
        <v>40</v>
      </c>
      <c r="N7" s="19" t="s">
        <v>50</v>
      </c>
      <c r="P7" s="183" t="str">
        <f>IF(P6="riprova","?","OK")</f>
        <v>OK</v>
      </c>
      <c r="Q7" s="5"/>
      <c r="R7" s="5"/>
      <c r="S7" s="5"/>
      <c r="T7" s="5"/>
    </row>
    <row r="8" spans="1:24" ht="21" thickBot="1">
      <c r="A8" s="20">
        <f>IF(W8=1,((300000000/(F8*1000000))*W8),"")</f>
        <v>200</v>
      </c>
      <c r="B8" s="21">
        <f>B6</f>
        <v>53.75</v>
      </c>
      <c r="C8" s="21">
        <f>B8</f>
        <v>53.75</v>
      </c>
      <c r="D8" s="92">
        <f>IF(W8=1,((IF($E$2=0,(B8+$E$3),($E$2*(B8+$E$3))/($E$2+$E$3+B8)))*W8),"")</f>
        <v>53.75</v>
      </c>
      <c r="E8" s="93">
        <f>S14</f>
        <v>209.44947522963884</v>
      </c>
      <c r="F8" s="94">
        <f>IF(W8=1,(((1/(((2*PI())*SQRT(D8/1000000000000*E8/1000000))))/1000000)*W8),"")</f>
        <v>1.5</v>
      </c>
      <c r="G8" s="95">
        <f>IF(W8=1,((IF($H$2=0,(C8+$H$3+$H$4),((($H$2*(C8+$H$3))/($H$2+$H$3+C8)))+$H$4))*W8),"")</f>
        <v>58.630768199546232</v>
      </c>
      <c r="H8" s="96">
        <f>T14</f>
        <v>114.44546061416881</v>
      </c>
      <c r="I8" s="97">
        <f>IF(W8=1,(((1/(((2*PI())*SQRT(G8/1000000000000*H8/1000000))))/1000000)*W8),"")</f>
        <v>1.942934024577365</v>
      </c>
      <c r="J8" s="32">
        <f>T4</f>
        <v>0.45</v>
      </c>
      <c r="K8" s="98">
        <f>IF(W8=1,(((1/(4*PI()*PI()*L8*1000000*L8*1000000*(H8/1000000)))*1000000000000)*W8),"")</f>
        <v>58.206631817108672</v>
      </c>
      <c r="L8" s="99">
        <f>IF(W8,(F8+J8)*W8,"")</f>
        <v>1.95</v>
      </c>
      <c r="M8" s="100">
        <f>IF(W8=1,(I8-F8)*W8,"")</f>
        <v>0.44293402457736497</v>
      </c>
      <c r="N8" s="53">
        <f t="shared" ref="N8:N72" si="0">IF(W8=1,((I8-F8-J8)/F8),"")</f>
        <v>-4.7106502817566938E-3</v>
      </c>
      <c r="P8" s="183"/>
      <c r="Q8" s="5"/>
      <c r="R8" s="18"/>
      <c r="S8" s="5"/>
      <c r="T8" s="18"/>
      <c r="W8" s="4">
        <f>IF($S$4&gt;=B8,1,0)</f>
        <v>1</v>
      </c>
    </row>
    <row r="9" spans="1:24">
      <c r="A9" s="20">
        <f t="shared" ref="A9:A72" si="1">IF(W9=1,((300000000/(F9*1000000))*W9),"")</f>
        <v>209.09550505106066</v>
      </c>
      <c r="B9" s="21">
        <f>IF(W8=1,B8+5,"")</f>
        <v>58.75</v>
      </c>
      <c r="C9" s="21">
        <f>B9</f>
        <v>58.75</v>
      </c>
      <c r="D9" s="22">
        <f t="shared" ref="D9:D72" si="2">IF(W9=1,((IF($E$2=0,(B9+$E$3),($E$2*(B9+$E$3))/($E$2+$E$3+B9)))*W9),"")</f>
        <v>58.75</v>
      </c>
      <c r="E9" s="31">
        <f>IF(W8=1,E8*W9,"")</f>
        <v>209.44947522963884</v>
      </c>
      <c r="F9" s="23">
        <f t="shared" ref="F9:F72" si="3">IF(W9=1,(((1/(((2*PI())*SQRT(D9/1000000000000*E9/1000000))))/1000000)*W9),"")</f>
        <v>1.4347510718929164</v>
      </c>
      <c r="G9" s="24">
        <f t="shared" ref="G9:G72" si="4">IF(W9=1,((IF($H$2=0,(C9+$H$3+$H$4),((($H$2*(C9+$H$3))/($H$2+$H$3+C9)))+$H$4))*W9),"")</f>
        <v>62.446453261261837</v>
      </c>
      <c r="H9" s="32">
        <f>IF(W8=1,H8*W9,"")</f>
        <v>114.44546061416881</v>
      </c>
      <c r="I9" s="25">
        <f t="shared" ref="I9:I72" si="5">IF(W9=1,(((1/(((2*PI())*SQRT(G9/1000000000000*H9/1000000))))/1000000)*W9),"")</f>
        <v>1.8826385938633923</v>
      </c>
      <c r="J9" s="26">
        <f>IF(W8=1,J8*W9,"")</f>
        <v>0.45</v>
      </c>
      <c r="K9" s="27">
        <f t="shared" ref="K9:K72" si="6">IF(W9=1,(((1/(4*PI()*PI()*L9*1000000*L9*1000000*(H9/1000000)))*1000000000000)*W9),"")</f>
        <v>62.306548491200786</v>
      </c>
      <c r="L9" s="28">
        <f t="shared" ref="L9:L72" si="7">IF(W9,(F9+J9)*W9,"")</f>
        <v>1.8847510718929164</v>
      </c>
      <c r="M9" s="29">
        <f t="shared" ref="M9:M72" si="8">IF(W9=1,(I9-F9)*W9,"")</f>
        <v>0.44788752197047588</v>
      </c>
      <c r="N9" s="53">
        <f t="shared" si="0"/>
        <v>-1.4723655349753943E-3</v>
      </c>
      <c r="P9" s="58"/>
      <c r="Q9" s="5"/>
      <c r="R9" s="5"/>
      <c r="S9" s="5"/>
      <c r="T9" s="5"/>
      <c r="W9" s="4">
        <f t="shared" ref="W9:W72" si="9">IF($S$4&gt;=B9,1,0)</f>
        <v>1</v>
      </c>
    </row>
    <row r="10" spans="1:24">
      <c r="A10" s="20">
        <f t="shared" si="1"/>
        <v>217.81152509708087</v>
      </c>
      <c r="B10" s="21">
        <f t="shared" ref="B10:B73" si="10">IF(W9=1,B9+5,"")</f>
        <v>63.75</v>
      </c>
      <c r="C10" s="21">
        <f t="shared" ref="C10:C73" si="11">B10</f>
        <v>63.75</v>
      </c>
      <c r="D10" s="22">
        <f t="shared" si="2"/>
        <v>63.75</v>
      </c>
      <c r="E10" s="31">
        <f t="shared" ref="E10:E73" si="12">IF(W9=1,E9*W10,"")</f>
        <v>209.44947522963884</v>
      </c>
      <c r="F10" s="23">
        <f t="shared" si="3"/>
        <v>1.377337585172717</v>
      </c>
      <c r="G10" s="24">
        <f t="shared" si="4"/>
        <v>66.193474196846466</v>
      </c>
      <c r="H10" s="32">
        <f t="shared" ref="H10:H73" si="13">IF(W9=1,H9*W10,"")</f>
        <v>114.44546061416881</v>
      </c>
      <c r="I10" s="25">
        <f t="shared" si="5"/>
        <v>1.828577021637886</v>
      </c>
      <c r="J10" s="26">
        <f t="shared" ref="J10:J73" si="14">IF(W9=1,J9*W10,"")</f>
        <v>0.45</v>
      </c>
      <c r="K10" s="27">
        <f t="shared" si="6"/>
        <v>66.283299339222921</v>
      </c>
      <c r="L10" s="28">
        <f t="shared" si="7"/>
        <v>1.8273375851727169</v>
      </c>
      <c r="M10" s="29">
        <f t="shared" si="8"/>
        <v>0.45123943646516906</v>
      </c>
      <c r="N10" s="53">
        <f t="shared" si="0"/>
        <v>8.9987848913135435E-4</v>
      </c>
      <c r="P10" s="58" t="str">
        <f>IF(OR(D8&lt;0,G8&lt;0),"riprova","OK")</f>
        <v>OK</v>
      </c>
      <c r="Q10" s="5"/>
      <c r="R10" s="5"/>
      <c r="S10" s="5"/>
      <c r="T10" s="5"/>
      <c r="W10" s="4">
        <f t="shared" si="9"/>
        <v>1</v>
      </c>
    </row>
    <row r="11" spans="1:24" ht="13.5" thickBot="1">
      <c r="A11" s="20">
        <f t="shared" si="1"/>
        <v>226.19193331698281</v>
      </c>
      <c r="B11" s="21">
        <f t="shared" si="10"/>
        <v>68.75</v>
      </c>
      <c r="C11" s="21">
        <f t="shared" si="11"/>
        <v>68.75</v>
      </c>
      <c r="D11" s="22">
        <f t="shared" si="2"/>
        <v>68.75</v>
      </c>
      <c r="E11" s="31">
        <f t="shared" si="12"/>
        <v>209.44947522963884</v>
      </c>
      <c r="F11" s="23">
        <f t="shared" si="3"/>
        <v>1.3263072453586724</v>
      </c>
      <c r="G11" s="24">
        <f t="shared" si="4"/>
        <v>69.873667918473927</v>
      </c>
      <c r="H11" s="32">
        <f t="shared" si="13"/>
        <v>114.44546061416881</v>
      </c>
      <c r="I11" s="25">
        <f t="shared" si="5"/>
        <v>1.7797707917179375</v>
      </c>
      <c r="J11" s="26">
        <f t="shared" si="14"/>
        <v>0.45</v>
      </c>
      <c r="K11" s="27">
        <f t="shared" si="6"/>
        <v>70.146420993103689</v>
      </c>
      <c r="L11" s="28">
        <f t="shared" si="7"/>
        <v>1.7763072453586723</v>
      </c>
      <c r="M11" s="29">
        <f t="shared" si="8"/>
        <v>0.45346354635926511</v>
      </c>
      <c r="N11" s="53">
        <f t="shared" si="0"/>
        <v>2.6114208237839015E-3</v>
      </c>
      <c r="P11" s="135"/>
      <c r="Q11" s="135"/>
      <c r="R11" s="135"/>
      <c r="S11" s="135"/>
      <c r="T11" s="135"/>
      <c r="W11" s="4">
        <f t="shared" si="9"/>
        <v>1</v>
      </c>
    </row>
    <row r="12" spans="1:24">
      <c r="A12" s="20">
        <f t="shared" si="1"/>
        <v>234.27274901326567</v>
      </c>
      <c r="B12" s="21">
        <f t="shared" si="10"/>
        <v>73.75</v>
      </c>
      <c r="C12" s="21">
        <f t="shared" si="11"/>
        <v>73.75</v>
      </c>
      <c r="D12" s="22">
        <f t="shared" si="2"/>
        <v>73.75</v>
      </c>
      <c r="E12" s="31">
        <f t="shared" si="12"/>
        <v>209.44947522963884</v>
      </c>
      <c r="F12" s="23">
        <f t="shared" si="3"/>
        <v>1.2805586704538672</v>
      </c>
      <c r="G12" s="24">
        <f t="shared" si="4"/>
        <v>73.48880639566589</v>
      </c>
      <c r="H12" s="32">
        <f t="shared" si="13"/>
        <v>114.44546061416881</v>
      </c>
      <c r="I12" s="25">
        <f t="shared" si="5"/>
        <v>1.7354425809091514</v>
      </c>
      <c r="J12" s="26">
        <f t="shared" si="14"/>
        <v>0.45</v>
      </c>
      <c r="K12" s="27">
        <f t="shared" si="6"/>
        <v>73.90418578768579</v>
      </c>
      <c r="L12" s="28">
        <f t="shared" si="7"/>
        <v>1.7305586704538671</v>
      </c>
      <c r="M12" s="29">
        <f t="shared" si="8"/>
        <v>0.4548839104552842</v>
      </c>
      <c r="N12" s="53">
        <f t="shared" si="0"/>
        <v>3.8138904276468575E-3</v>
      </c>
      <c r="P12" s="33" t="s">
        <v>38</v>
      </c>
      <c r="Q12" s="34" t="s">
        <v>39</v>
      </c>
      <c r="R12" s="34" t="s">
        <v>32</v>
      </c>
      <c r="S12" s="34" t="s">
        <v>43</v>
      </c>
      <c r="T12" s="35" t="s">
        <v>46</v>
      </c>
      <c r="W12" s="4">
        <f t="shared" si="9"/>
        <v>1</v>
      </c>
    </row>
    <row r="13" spans="1:24">
      <c r="A13" s="20">
        <f t="shared" si="1"/>
        <v>242.08397543577865</v>
      </c>
      <c r="B13" s="21">
        <f t="shared" si="10"/>
        <v>78.75</v>
      </c>
      <c r="C13" s="21">
        <f t="shared" si="11"/>
        <v>78.75</v>
      </c>
      <c r="D13" s="22">
        <f t="shared" si="2"/>
        <v>78.75</v>
      </c>
      <c r="E13" s="31">
        <f t="shared" si="12"/>
        <v>209.44947522963884</v>
      </c>
      <c r="F13" s="23">
        <f t="shared" si="3"/>
        <v>1.2392393980641052</v>
      </c>
      <c r="G13" s="24">
        <f t="shared" si="4"/>
        <v>77.040599500145746</v>
      </c>
      <c r="H13" s="32">
        <f t="shared" si="13"/>
        <v>114.44546061416881</v>
      </c>
      <c r="I13" s="25">
        <f t="shared" si="5"/>
        <v>1.694966109954912</v>
      </c>
      <c r="J13" s="26">
        <f t="shared" si="14"/>
        <v>0.45</v>
      </c>
      <c r="K13" s="27">
        <f t="shared" si="6"/>
        <v>77.563837542647676</v>
      </c>
      <c r="L13" s="28">
        <f t="shared" si="7"/>
        <v>1.6892393980641052</v>
      </c>
      <c r="M13" s="29">
        <f t="shared" si="8"/>
        <v>0.45572671189080682</v>
      </c>
      <c r="N13" s="53">
        <f t="shared" si="0"/>
        <v>4.6211506023395273E-3</v>
      </c>
      <c r="P13" s="36" t="s">
        <v>8</v>
      </c>
      <c r="Q13" s="37" t="s">
        <v>8</v>
      </c>
      <c r="R13" s="38" t="s">
        <v>8</v>
      </c>
      <c r="S13" s="39" t="s">
        <v>51</v>
      </c>
      <c r="T13" s="40" t="s">
        <v>51</v>
      </c>
      <c r="W13" s="4">
        <f t="shared" si="9"/>
        <v>1</v>
      </c>
    </row>
    <row r="14" spans="1:24">
      <c r="A14" s="20">
        <f t="shared" si="1"/>
        <v>249.65091907571428</v>
      </c>
      <c r="B14" s="21">
        <f t="shared" si="10"/>
        <v>83.75</v>
      </c>
      <c r="C14" s="21">
        <f t="shared" si="11"/>
        <v>83.75</v>
      </c>
      <c r="D14" s="22">
        <f t="shared" si="2"/>
        <v>83.75</v>
      </c>
      <c r="E14" s="31">
        <f t="shared" si="12"/>
        <v>209.44947522963884</v>
      </c>
      <c r="F14" s="23">
        <f t="shared" si="3"/>
        <v>1.2016779313719081</v>
      </c>
      <c r="G14" s="24">
        <f t="shared" si="4"/>
        <v>80.530697702446858</v>
      </c>
      <c r="H14" s="32">
        <f t="shared" si="13"/>
        <v>114.44546061416881</v>
      </c>
      <c r="I14" s="25">
        <f t="shared" si="5"/>
        <v>1.6578304608145356</v>
      </c>
      <c r="J14" s="26">
        <f t="shared" si="14"/>
        <v>0.45</v>
      </c>
      <c r="K14" s="27">
        <f t="shared" si="6"/>
        <v>81.131771667038549</v>
      </c>
      <c r="L14" s="28">
        <f t="shared" si="7"/>
        <v>1.6516779313719081</v>
      </c>
      <c r="M14" s="29">
        <f t="shared" si="8"/>
        <v>0.45615252944262741</v>
      </c>
      <c r="N14" s="53">
        <f t="shared" si="0"/>
        <v>5.1199487666410727E-3</v>
      </c>
      <c r="P14" s="82">
        <f>INPUT!C12</f>
        <v>0</v>
      </c>
      <c r="Q14" s="83">
        <f>INPUT!C13</f>
        <v>13.060354277853612</v>
      </c>
      <c r="R14" s="83">
        <f>INPUT!C14</f>
        <v>478.89249620868139</v>
      </c>
      <c r="S14" s="83">
        <f>INPUT!C15</f>
        <v>209.44947522963884</v>
      </c>
      <c r="T14" s="84">
        <f>INPUT!C16</f>
        <v>114.44546061416881</v>
      </c>
      <c r="W14" s="4">
        <f t="shared" si="9"/>
        <v>1</v>
      </c>
    </row>
    <row r="15" spans="1:24">
      <c r="A15" s="20">
        <f t="shared" si="1"/>
        <v>256.99515876355917</v>
      </c>
      <c r="B15" s="21">
        <f t="shared" si="10"/>
        <v>88.75</v>
      </c>
      <c r="C15" s="21">
        <f t="shared" si="11"/>
        <v>88.75</v>
      </c>
      <c r="D15" s="22">
        <f t="shared" si="2"/>
        <v>88.75</v>
      </c>
      <c r="E15" s="31">
        <f t="shared" si="12"/>
        <v>209.44947522963884</v>
      </c>
      <c r="F15" s="23">
        <f t="shared" si="3"/>
        <v>1.1673371648063073</v>
      </c>
      <c r="G15" s="24">
        <f t="shared" si="4"/>
        <v>83.960694629209584</v>
      </c>
      <c r="H15" s="32">
        <f t="shared" si="13"/>
        <v>114.44546061416881</v>
      </c>
      <c r="I15" s="25">
        <f t="shared" si="5"/>
        <v>1.6236141756535352</v>
      </c>
      <c r="J15" s="26">
        <f t="shared" si="14"/>
        <v>0.45</v>
      </c>
      <c r="K15" s="27">
        <f t="shared" si="6"/>
        <v>84.613675231395675</v>
      </c>
      <c r="L15" s="28">
        <f t="shared" si="7"/>
        <v>1.6173371648063073</v>
      </c>
      <c r="M15" s="29">
        <f t="shared" si="8"/>
        <v>0.45627701084722783</v>
      </c>
      <c r="N15" s="53">
        <f t="shared" si="0"/>
        <v>5.3772046641463187E-3</v>
      </c>
      <c r="P15" s="36"/>
      <c r="Q15" s="38"/>
      <c r="R15" s="38"/>
      <c r="S15" s="38"/>
      <c r="T15" s="41"/>
      <c r="W15" s="4">
        <f t="shared" si="9"/>
        <v>1</v>
      </c>
    </row>
    <row r="16" spans="1:24">
      <c r="A16" s="20">
        <f t="shared" si="1"/>
        <v>264.13527189768718</v>
      </c>
      <c r="B16" s="21">
        <f t="shared" si="10"/>
        <v>93.75</v>
      </c>
      <c r="C16" s="21">
        <f t="shared" si="11"/>
        <v>93.75</v>
      </c>
      <c r="D16" s="22">
        <f t="shared" si="2"/>
        <v>93.75</v>
      </c>
      <c r="E16" s="31">
        <f t="shared" si="12"/>
        <v>209.44947522963884</v>
      </c>
      <c r="F16" s="23">
        <f t="shared" si="3"/>
        <v>1.1357816691600546</v>
      </c>
      <c r="G16" s="24">
        <f t="shared" si="4"/>
        <v>87.332129489492473</v>
      </c>
      <c r="H16" s="32">
        <f t="shared" si="13"/>
        <v>114.44546061416881</v>
      </c>
      <c r="I16" s="25">
        <f t="shared" si="5"/>
        <v>1.591966120032382</v>
      </c>
      <c r="J16" s="26">
        <f t="shared" si="14"/>
        <v>0.45</v>
      </c>
      <c r="K16" s="27">
        <f t="shared" si="6"/>
        <v>88.014637625090401</v>
      </c>
      <c r="L16" s="28">
        <f t="shared" si="7"/>
        <v>1.5857816691600546</v>
      </c>
      <c r="M16" s="29">
        <f t="shared" si="8"/>
        <v>0.4561844508723274</v>
      </c>
      <c r="N16" s="53">
        <f t="shared" si="0"/>
        <v>5.4451053756669416E-3</v>
      </c>
      <c r="P16" s="36" t="s">
        <v>31</v>
      </c>
      <c r="Q16" s="38" t="s">
        <v>41</v>
      </c>
      <c r="R16" s="38"/>
      <c r="S16" s="38"/>
      <c r="T16" s="41"/>
      <c r="W16" s="4">
        <f t="shared" si="9"/>
        <v>1</v>
      </c>
    </row>
    <row r="17" spans="1:23">
      <c r="A17" s="20">
        <f t="shared" si="1"/>
        <v>271.08738829577311</v>
      </c>
      <c r="B17" s="21">
        <f t="shared" si="10"/>
        <v>98.75</v>
      </c>
      <c r="C17" s="21">
        <f t="shared" si="11"/>
        <v>98.75</v>
      </c>
      <c r="D17" s="22">
        <f t="shared" si="2"/>
        <v>98.75</v>
      </c>
      <c r="E17" s="31">
        <f t="shared" si="12"/>
        <v>209.44947522963884</v>
      </c>
      <c r="F17" s="23">
        <f t="shared" si="3"/>
        <v>1.1066542117137572</v>
      </c>
      <c r="G17" s="24">
        <f t="shared" si="4"/>
        <v>90.64648937785833</v>
      </c>
      <c r="H17" s="32">
        <f t="shared" si="13"/>
        <v>114.44546061416881</v>
      </c>
      <c r="I17" s="25">
        <f t="shared" si="5"/>
        <v>1.5625911180105632</v>
      </c>
      <c r="J17" s="26">
        <f t="shared" si="14"/>
        <v>0.45</v>
      </c>
      <c r="K17" s="27">
        <f t="shared" si="6"/>
        <v>91.339239187296869</v>
      </c>
      <c r="L17" s="28">
        <f t="shared" si="7"/>
        <v>1.5566542117137572</v>
      </c>
      <c r="M17" s="29">
        <f t="shared" si="8"/>
        <v>0.45593690629680594</v>
      </c>
      <c r="N17" s="53">
        <f t="shared" si="0"/>
        <v>5.3647347418595013E-3</v>
      </c>
      <c r="P17" s="36" t="s">
        <v>8</v>
      </c>
      <c r="Q17" s="37" t="s">
        <v>8</v>
      </c>
      <c r="R17" s="38"/>
      <c r="S17" s="38"/>
      <c r="T17" s="41"/>
      <c r="W17" s="4">
        <f t="shared" si="9"/>
        <v>1</v>
      </c>
    </row>
    <row r="18" spans="1:23">
      <c r="A18" s="20">
        <f t="shared" si="1"/>
        <v>277.86561918593202</v>
      </c>
      <c r="B18" s="21">
        <f t="shared" si="10"/>
        <v>103.75</v>
      </c>
      <c r="C18" s="21">
        <f t="shared" si="11"/>
        <v>103.75</v>
      </c>
      <c r="D18" s="22">
        <f t="shared" si="2"/>
        <v>103.75</v>
      </c>
      <c r="E18" s="31">
        <f t="shared" si="12"/>
        <v>209.44947522963884</v>
      </c>
      <c r="F18" s="23">
        <f t="shared" si="3"/>
        <v>1.0796585805718442</v>
      </c>
      <c r="G18" s="24">
        <f t="shared" si="4"/>
        <v>93.905211461475417</v>
      </c>
      <c r="H18" s="32">
        <f t="shared" si="13"/>
        <v>114.44546061416881</v>
      </c>
      <c r="I18" s="25">
        <f t="shared" si="5"/>
        <v>1.5352390144761883</v>
      </c>
      <c r="J18" s="26">
        <f t="shared" si="14"/>
        <v>0.45</v>
      </c>
      <c r="K18" s="27">
        <f t="shared" si="6"/>
        <v>94.591623066731287</v>
      </c>
      <c r="L18" s="28">
        <f t="shared" si="7"/>
        <v>1.5296585805718441</v>
      </c>
      <c r="M18" s="29">
        <f t="shared" si="8"/>
        <v>0.45558043390434411</v>
      </c>
      <c r="N18" s="53">
        <f t="shared" si="0"/>
        <v>5.1687024071891347E-3</v>
      </c>
      <c r="P18" s="85">
        <v>0</v>
      </c>
      <c r="Q18" s="86">
        <v>0</v>
      </c>
      <c r="R18" s="42"/>
      <c r="S18" s="42"/>
      <c r="T18" s="43"/>
      <c r="W18" s="4">
        <f t="shared" si="9"/>
        <v>1</v>
      </c>
    </row>
    <row r="19" spans="1:23">
      <c r="A19" s="20">
        <f t="shared" si="1"/>
        <v>284.48239410926567</v>
      </c>
      <c r="B19" s="21">
        <f t="shared" si="10"/>
        <v>108.75</v>
      </c>
      <c r="C19" s="21">
        <f t="shared" si="11"/>
        <v>108.75</v>
      </c>
      <c r="D19" s="22">
        <f t="shared" si="2"/>
        <v>108.75</v>
      </c>
      <c r="E19" s="31">
        <f t="shared" si="12"/>
        <v>209.44947522963884</v>
      </c>
      <c r="F19" s="23">
        <f t="shared" si="3"/>
        <v>1.0545468057498639</v>
      </c>
      <c r="G19" s="24">
        <f t="shared" si="4"/>
        <v>97.109685057991456</v>
      </c>
      <c r="H19" s="32">
        <f t="shared" si="13"/>
        <v>114.44546061416881</v>
      </c>
      <c r="I19" s="25">
        <f t="shared" si="5"/>
        <v>1.5096962389702469</v>
      </c>
      <c r="J19" s="26">
        <f t="shared" si="14"/>
        <v>0.45</v>
      </c>
      <c r="K19" s="27">
        <f t="shared" si="6"/>
        <v>97.775554120994087</v>
      </c>
      <c r="L19" s="28">
        <f t="shared" si="7"/>
        <v>1.5045468057498639</v>
      </c>
      <c r="M19" s="29">
        <f t="shared" si="8"/>
        <v>0.45514943322038293</v>
      </c>
      <c r="N19" s="53">
        <f t="shared" si="0"/>
        <v>4.8830769694677249E-3</v>
      </c>
      <c r="W19" s="4">
        <f t="shared" si="9"/>
        <v>1</v>
      </c>
    </row>
    <row r="20" spans="1:23">
      <c r="A20" s="20">
        <f t="shared" si="1"/>
        <v>290.94872880062167</v>
      </c>
      <c r="B20" s="21">
        <f t="shared" si="10"/>
        <v>113.75</v>
      </c>
      <c r="C20" s="21">
        <f t="shared" si="11"/>
        <v>113.75</v>
      </c>
      <c r="D20" s="22">
        <f t="shared" si="2"/>
        <v>113.75</v>
      </c>
      <c r="E20" s="31">
        <f t="shared" si="12"/>
        <v>209.44947522963884</v>
      </c>
      <c r="F20" s="23">
        <f t="shared" si="3"/>
        <v>1.031109505914291</v>
      </c>
      <c r="G20" s="24">
        <f t="shared" si="4"/>
        <v>100.26125361049225</v>
      </c>
      <c r="H20" s="32">
        <f t="shared" si="13"/>
        <v>114.44546061416881</v>
      </c>
      <c r="I20" s="25">
        <f t="shared" si="5"/>
        <v>1.4857792222134374</v>
      </c>
      <c r="J20" s="26">
        <f t="shared" si="14"/>
        <v>0.45</v>
      </c>
      <c r="K20" s="27">
        <f t="shared" si="6"/>
        <v>100.89446766694772</v>
      </c>
      <c r="L20" s="28">
        <f t="shared" si="7"/>
        <v>1.4811095059142909</v>
      </c>
      <c r="M20" s="29">
        <f t="shared" si="8"/>
        <v>0.45466971629914643</v>
      </c>
      <c r="N20" s="53">
        <f t="shared" si="0"/>
        <v>4.5288267369873146E-3</v>
      </c>
      <c r="W20" s="4">
        <f t="shared" si="9"/>
        <v>1</v>
      </c>
    </row>
    <row r="21" spans="1:23" s="4" customFormat="1">
      <c r="A21" s="20">
        <f t="shared" si="1"/>
        <v>297.27444058185665</v>
      </c>
      <c r="B21" s="21">
        <f t="shared" si="10"/>
        <v>118.75</v>
      </c>
      <c r="C21" s="21">
        <f t="shared" si="11"/>
        <v>118.75</v>
      </c>
      <c r="D21" s="22">
        <f t="shared" si="2"/>
        <v>118.75</v>
      </c>
      <c r="E21" s="31">
        <f t="shared" si="12"/>
        <v>209.44947522963884</v>
      </c>
      <c r="F21" s="23">
        <f t="shared" si="3"/>
        <v>1.0091684956594607</v>
      </c>
      <c r="G21" s="24">
        <f t="shared" si="4"/>
        <v>103.36121656544276</v>
      </c>
      <c r="H21" s="32">
        <f t="shared" si="13"/>
        <v>114.44546061416881</v>
      </c>
      <c r="I21" s="25">
        <f t="shared" si="5"/>
        <v>1.4633292032016616</v>
      </c>
      <c r="J21" s="26">
        <f t="shared" si="14"/>
        <v>0.45</v>
      </c>
      <c r="K21" s="27">
        <f t="shared" si="6"/>
        <v>103.95151018848033</v>
      </c>
      <c r="L21" s="28">
        <f t="shared" si="7"/>
        <v>1.4591684956594606</v>
      </c>
      <c r="M21" s="29">
        <f t="shared" si="8"/>
        <v>0.45416070754220095</v>
      </c>
      <c r="N21" s="53">
        <f t="shared" si="0"/>
        <v>4.1229066901083168E-3</v>
      </c>
      <c r="Q21" s="44"/>
      <c r="W21" s="4">
        <f t="shared" si="9"/>
        <v>1</v>
      </c>
    </row>
    <row r="22" spans="1:23">
      <c r="A22" s="20">
        <f t="shared" si="1"/>
        <v>303.46832331532391</v>
      </c>
      <c r="B22" s="21">
        <f t="shared" si="10"/>
        <v>123.75</v>
      </c>
      <c r="C22" s="21">
        <f t="shared" si="11"/>
        <v>123.75</v>
      </c>
      <c r="D22" s="22">
        <f t="shared" si="2"/>
        <v>123.75</v>
      </c>
      <c r="E22" s="31">
        <f t="shared" si="12"/>
        <v>209.44947522963884</v>
      </c>
      <c r="F22" s="23">
        <f t="shared" si="3"/>
        <v>0.98857105322416106</v>
      </c>
      <c r="G22" s="24">
        <f t="shared" si="4"/>
        <v>106.41083115912615</v>
      </c>
      <c r="H22" s="32">
        <f t="shared" si="13"/>
        <v>114.44546061416881</v>
      </c>
      <c r="I22" s="25">
        <f t="shared" si="5"/>
        <v>1.4422080927899987</v>
      </c>
      <c r="J22" s="26">
        <f t="shared" si="14"/>
        <v>0.45</v>
      </c>
      <c r="K22" s="27">
        <f t="shared" si="6"/>
        <v>106.9495736018189</v>
      </c>
      <c r="L22" s="28">
        <f t="shared" si="7"/>
        <v>1.4385710532241611</v>
      </c>
      <c r="M22" s="29">
        <f t="shared" si="8"/>
        <v>0.45363703956583767</v>
      </c>
      <c r="N22" s="53">
        <f t="shared" si="0"/>
        <v>3.6790876629208308E-3</v>
      </c>
      <c r="W22" s="4">
        <f t="shared" si="9"/>
        <v>1</v>
      </c>
    </row>
    <row r="23" spans="1:23">
      <c r="A23" s="20">
        <f t="shared" si="1"/>
        <v>309.53829082743886</v>
      </c>
      <c r="B23" s="21">
        <f t="shared" si="10"/>
        <v>128.75</v>
      </c>
      <c r="C23" s="21">
        <f t="shared" si="11"/>
        <v>128.75</v>
      </c>
      <c r="D23" s="22">
        <f t="shared" si="2"/>
        <v>128.75</v>
      </c>
      <c r="E23" s="31">
        <f t="shared" si="12"/>
        <v>209.44947522963884</v>
      </c>
      <c r="F23" s="23">
        <f t="shared" si="3"/>
        <v>0.96918542516358253</v>
      </c>
      <c r="G23" s="24">
        <f t="shared" si="4"/>
        <v>109.41131411773982</v>
      </c>
      <c r="H23" s="32">
        <f t="shared" si="13"/>
        <v>114.44546061416881</v>
      </c>
      <c r="I23" s="25">
        <f t="shared" si="5"/>
        <v>1.4222951489644642</v>
      </c>
      <c r="J23" s="26">
        <f t="shared" si="14"/>
        <v>0.45</v>
      </c>
      <c r="K23" s="27">
        <f t="shared" si="6"/>
        <v>109.8913243094093</v>
      </c>
      <c r="L23" s="28">
        <f t="shared" si="7"/>
        <v>1.4191854251635825</v>
      </c>
      <c r="M23" s="29">
        <f t="shared" si="8"/>
        <v>0.45310972380088166</v>
      </c>
      <c r="N23" s="53">
        <f t="shared" si="0"/>
        <v>3.20859530090104E-3</v>
      </c>
      <c r="W23" s="4">
        <f t="shared" si="9"/>
        <v>1</v>
      </c>
    </row>
    <row r="24" spans="1:23">
      <c r="A24" s="20">
        <f t="shared" si="1"/>
        <v>315.49149548114644</v>
      </c>
      <c r="B24" s="21">
        <f t="shared" si="10"/>
        <v>133.75</v>
      </c>
      <c r="C24" s="21">
        <f t="shared" si="11"/>
        <v>133.75</v>
      </c>
      <c r="D24" s="22">
        <f t="shared" si="2"/>
        <v>133.75</v>
      </c>
      <c r="E24" s="31">
        <f t="shared" si="12"/>
        <v>209.44947522963884</v>
      </c>
      <c r="F24" s="23">
        <f t="shared" si="3"/>
        <v>0.95089726441747402</v>
      </c>
      <c r="G24" s="24">
        <f t="shared" si="4"/>
        <v>112.36384327597875</v>
      </c>
      <c r="H24" s="32">
        <f t="shared" si="13"/>
        <v>114.44546061416881</v>
      </c>
      <c r="I24" s="25">
        <f t="shared" si="5"/>
        <v>1.4034842821754108</v>
      </c>
      <c r="J24" s="26">
        <f t="shared" si="14"/>
        <v>0.45</v>
      </c>
      <c r="K24" s="27">
        <f t="shared" si="6"/>
        <v>112.77922800029891</v>
      </c>
      <c r="L24" s="28">
        <f t="shared" si="7"/>
        <v>1.400897264417474</v>
      </c>
      <c r="M24" s="29">
        <f t="shared" si="8"/>
        <v>0.45258701775793675</v>
      </c>
      <c r="N24" s="53">
        <f t="shared" si="0"/>
        <v>2.7206070042924799E-3</v>
      </c>
      <c r="Q24" s="44"/>
      <c r="W24" s="4">
        <f t="shared" si="9"/>
        <v>1</v>
      </c>
    </row>
    <row r="25" spans="1:23">
      <c r="A25" s="20">
        <f t="shared" si="1"/>
        <v>321.33442696587673</v>
      </c>
      <c r="B25" s="21">
        <f t="shared" si="10"/>
        <v>138.75</v>
      </c>
      <c r="C25" s="21">
        <f t="shared" si="11"/>
        <v>138.75</v>
      </c>
      <c r="D25" s="22">
        <f t="shared" si="2"/>
        <v>138.75</v>
      </c>
      <c r="E25" s="31">
        <f t="shared" si="12"/>
        <v>209.44947522963884</v>
      </c>
      <c r="F25" s="23">
        <f t="shared" si="3"/>
        <v>0.93360678104950678</v>
      </c>
      <c r="G25" s="24">
        <f t="shared" si="4"/>
        <v>115.26955911862918</v>
      </c>
      <c r="H25" s="32">
        <f t="shared" si="13"/>
        <v>114.44546061416881</v>
      </c>
      <c r="I25" s="25">
        <f t="shared" si="5"/>
        <v>1.3856818544224065</v>
      </c>
      <c r="J25" s="26">
        <f t="shared" si="14"/>
        <v>0.45</v>
      </c>
      <c r="K25" s="27">
        <f t="shared" si="6"/>
        <v>115.61557095030543</v>
      </c>
      <c r="L25" s="28">
        <f t="shared" si="7"/>
        <v>1.3836067810495067</v>
      </c>
      <c r="M25" s="29">
        <f t="shared" si="8"/>
        <v>0.45207507337289976</v>
      </c>
      <c r="N25" s="53">
        <f t="shared" si="0"/>
        <v>2.2226417106429668E-3</v>
      </c>
      <c r="W25" s="4">
        <f t="shared" si="9"/>
        <v>1</v>
      </c>
    </row>
    <row r="26" spans="1:23">
      <c r="A26" s="20">
        <f t="shared" si="1"/>
        <v>327.07299519533325</v>
      </c>
      <c r="B26" s="21">
        <f t="shared" si="10"/>
        <v>143.75</v>
      </c>
      <c r="C26" s="21">
        <f t="shared" si="11"/>
        <v>143.75</v>
      </c>
      <c r="D26" s="22">
        <f t="shared" si="2"/>
        <v>143.75</v>
      </c>
      <c r="E26" s="31">
        <f t="shared" si="12"/>
        <v>209.44947522963884</v>
      </c>
      <c r="F26" s="23">
        <f t="shared" si="3"/>
        <v>0.91722644304778256</v>
      </c>
      <c r="G26" s="24">
        <f t="shared" si="4"/>
        <v>118.12956624941168</v>
      </c>
      <c r="H26" s="32">
        <f t="shared" si="13"/>
        <v>114.44546061416881</v>
      </c>
      <c r="I26" s="25">
        <f t="shared" si="5"/>
        <v>1.3688048686978003</v>
      </c>
      <c r="J26" s="26">
        <f t="shared" si="14"/>
        <v>0.45</v>
      </c>
      <c r="K26" s="27">
        <f t="shared" si="6"/>
        <v>118.40247842004207</v>
      </c>
      <c r="L26" s="28">
        <f t="shared" si="7"/>
        <v>1.3672264430477825</v>
      </c>
      <c r="M26" s="29">
        <f t="shared" si="8"/>
        <v>0.45157842565001771</v>
      </c>
      <c r="N26" s="53">
        <f t="shared" si="0"/>
        <v>1.7208680168147674E-3</v>
      </c>
      <c r="Q26" s="44"/>
      <c r="W26" s="4">
        <f t="shared" si="9"/>
        <v>1</v>
      </c>
    </row>
    <row r="27" spans="1:23">
      <c r="A27" s="20">
        <f t="shared" si="1"/>
        <v>332.7126003303822</v>
      </c>
      <c r="B27" s="21">
        <f t="shared" si="10"/>
        <v>148.75</v>
      </c>
      <c r="C27" s="21">
        <f t="shared" si="11"/>
        <v>148.75</v>
      </c>
      <c r="D27" s="22">
        <f t="shared" si="2"/>
        <v>148.75</v>
      </c>
      <c r="E27" s="31">
        <f t="shared" si="12"/>
        <v>209.44947522963884</v>
      </c>
      <c r="F27" s="23">
        <f t="shared" si="3"/>
        <v>0.90167910593738043</v>
      </c>
      <c r="G27" s="24">
        <f t="shared" si="4"/>
        <v>120.94493479104777</v>
      </c>
      <c r="H27" s="32">
        <f t="shared" si="13"/>
        <v>114.44546061416881</v>
      </c>
      <c r="I27" s="25">
        <f t="shared" si="5"/>
        <v>1.352779469587633</v>
      </c>
      <c r="J27" s="26">
        <f t="shared" si="14"/>
        <v>0.45</v>
      </c>
      <c r="K27" s="27">
        <f t="shared" si="6"/>
        <v>121.14193062986402</v>
      </c>
      <c r="L27" s="28">
        <f t="shared" si="7"/>
        <v>1.3516791059373805</v>
      </c>
      <c r="M27" s="29">
        <f t="shared" si="8"/>
        <v>0.45110036365025252</v>
      </c>
      <c r="N27" s="53">
        <f t="shared" si="0"/>
        <v>1.2203495046151478E-3</v>
      </c>
      <c r="W27" s="4">
        <f t="shared" si="9"/>
        <v>1</v>
      </c>
    </row>
    <row r="28" spans="1:23">
      <c r="A28" s="20">
        <f t="shared" si="1"/>
        <v>338.2581922897993</v>
      </c>
      <c r="B28" s="21">
        <f t="shared" si="10"/>
        <v>153.75</v>
      </c>
      <c r="C28" s="21">
        <f t="shared" si="11"/>
        <v>153.75</v>
      </c>
      <c r="D28" s="22">
        <f t="shared" si="2"/>
        <v>153.75</v>
      </c>
      <c r="E28" s="31">
        <f t="shared" si="12"/>
        <v>209.44947522963884</v>
      </c>
      <c r="F28" s="23">
        <f t="shared" si="3"/>
        <v>0.88689647978422959</v>
      </c>
      <c r="G28" s="24">
        <f t="shared" si="4"/>
        <v>123.71670172027784</v>
      </c>
      <c r="H28" s="32">
        <f t="shared" si="13"/>
        <v>114.44546061416881</v>
      </c>
      <c r="I28" s="25">
        <f t="shared" si="5"/>
        <v>1.3375396938007487</v>
      </c>
      <c r="J28" s="26">
        <f t="shared" si="14"/>
        <v>0.45</v>
      </c>
      <c r="K28" s="27">
        <f t="shared" si="6"/>
        <v>123.83577669862694</v>
      </c>
      <c r="L28" s="28">
        <f t="shared" si="7"/>
        <v>1.3368964797842295</v>
      </c>
      <c r="M28" s="29">
        <f t="shared" si="8"/>
        <v>0.45064321401651908</v>
      </c>
      <c r="N28" s="53">
        <f t="shared" si="0"/>
        <v>7.2524136827733555E-4</v>
      </c>
      <c r="W28" s="4">
        <f t="shared" si="9"/>
        <v>1</v>
      </c>
    </row>
    <row r="29" spans="1:23">
      <c r="A29" s="20">
        <f t="shared" si="1"/>
        <v>343.71432161567105</v>
      </c>
      <c r="B29" s="21">
        <f t="shared" si="10"/>
        <v>158.75</v>
      </c>
      <c r="C29" s="21">
        <f t="shared" si="11"/>
        <v>158.75</v>
      </c>
      <c r="D29" s="22">
        <f t="shared" si="2"/>
        <v>158.75</v>
      </c>
      <c r="E29" s="31">
        <f t="shared" si="12"/>
        <v>209.44947522963884</v>
      </c>
      <c r="F29" s="23">
        <f t="shared" si="3"/>
        <v>0.87281786394530614</v>
      </c>
      <c r="G29" s="24">
        <f t="shared" si="4"/>
        <v>126.44587214132974</v>
      </c>
      <c r="H29" s="32">
        <f t="shared" si="13"/>
        <v>114.44546061416881</v>
      </c>
      <c r="I29" s="25">
        <f t="shared" si="5"/>
        <v>1.3230264228841515</v>
      </c>
      <c r="J29" s="26">
        <f t="shared" si="14"/>
        <v>0.45</v>
      </c>
      <c r="K29" s="27">
        <f t="shared" si="6"/>
        <v>126.48574686108883</v>
      </c>
      <c r="L29" s="28">
        <f t="shared" si="7"/>
        <v>1.3228178639453061</v>
      </c>
      <c r="M29" s="29">
        <f t="shared" si="8"/>
        <v>0.45020855893884537</v>
      </c>
      <c r="N29" s="53">
        <f t="shared" si="0"/>
        <v>2.3894898060705731E-4</v>
      </c>
      <c r="W29" s="4">
        <f t="shared" si="9"/>
        <v>1</v>
      </c>
    </row>
    <row r="30" spans="1:23">
      <c r="A30" s="20">
        <f t="shared" si="1"/>
        <v>349.08518318066592</v>
      </c>
      <c r="B30" s="21">
        <f t="shared" si="10"/>
        <v>163.75</v>
      </c>
      <c r="C30" s="21">
        <f t="shared" si="11"/>
        <v>163.75</v>
      </c>
      <c r="D30" s="22">
        <f t="shared" si="2"/>
        <v>163.75</v>
      </c>
      <c r="E30" s="31">
        <f t="shared" si="12"/>
        <v>209.44947522963884</v>
      </c>
      <c r="F30" s="23">
        <f t="shared" si="3"/>
        <v>0.85938909599820423</v>
      </c>
      <c r="G30" s="24">
        <f t="shared" si="4"/>
        <v>129.13342050112286</v>
      </c>
      <c r="H30" s="32">
        <f t="shared" si="13"/>
        <v>114.44546061416881</v>
      </c>
      <c r="I30" s="25">
        <f t="shared" si="5"/>
        <v>1.3091865005998673</v>
      </c>
      <c r="J30" s="26">
        <f t="shared" si="14"/>
        <v>0.45</v>
      </c>
      <c r="K30" s="27">
        <f t="shared" si="6"/>
        <v>129.09346322196384</v>
      </c>
      <c r="L30" s="28">
        <f t="shared" si="7"/>
        <v>1.3093890959982042</v>
      </c>
      <c r="M30" s="29">
        <f t="shared" si="8"/>
        <v>0.44979740460166306</v>
      </c>
      <c r="N30" s="53">
        <f t="shared" si="0"/>
        <v>-2.357435058000433E-4</v>
      </c>
      <c r="W30" s="4">
        <f t="shared" si="9"/>
        <v>1</v>
      </c>
    </row>
    <row r="31" spans="1:23">
      <c r="A31" s="20">
        <f t="shared" si="1"/>
        <v>354.37465393117105</v>
      </c>
      <c r="B31" s="21">
        <f t="shared" si="10"/>
        <v>168.75</v>
      </c>
      <c r="C31" s="21">
        <f t="shared" si="11"/>
        <v>168.75</v>
      </c>
      <c r="D31" s="22">
        <f t="shared" si="2"/>
        <v>168.75</v>
      </c>
      <c r="E31" s="31">
        <f t="shared" si="12"/>
        <v>209.44947522963884</v>
      </c>
      <c r="F31" s="23">
        <f t="shared" si="3"/>
        <v>0.84656167328001952</v>
      </c>
      <c r="G31" s="24">
        <f t="shared" si="4"/>
        <v>131.78029174929443</v>
      </c>
      <c r="H31" s="32">
        <f t="shared" si="13"/>
        <v>114.44546061416881</v>
      </c>
      <c r="I31" s="25">
        <f t="shared" si="5"/>
        <v>1.2959719852471492</v>
      </c>
      <c r="J31" s="26">
        <f t="shared" si="14"/>
        <v>0.45</v>
      </c>
      <c r="K31" s="27">
        <f t="shared" si="6"/>
        <v>131.66044925946193</v>
      </c>
      <c r="L31" s="28">
        <f t="shared" si="7"/>
        <v>1.2965616732800196</v>
      </c>
      <c r="M31" s="29">
        <f t="shared" si="8"/>
        <v>0.44941031196712966</v>
      </c>
      <c r="N31" s="53">
        <f t="shared" si="0"/>
        <v>-6.9656830858594451E-4</v>
      </c>
      <c r="W31" s="4">
        <f t="shared" si="9"/>
        <v>1</v>
      </c>
    </row>
    <row r="32" spans="1:23">
      <c r="A32" s="20">
        <f t="shared" si="1"/>
        <v>359.58632563182283</v>
      </c>
      <c r="B32" s="21">
        <f t="shared" si="10"/>
        <v>173.75</v>
      </c>
      <c r="C32" s="21">
        <f t="shared" si="11"/>
        <v>173.75</v>
      </c>
      <c r="D32" s="22">
        <f t="shared" si="2"/>
        <v>173.75</v>
      </c>
      <c r="E32" s="31">
        <f t="shared" si="12"/>
        <v>209.44947522963884</v>
      </c>
      <c r="F32" s="23">
        <f t="shared" si="3"/>
        <v>0.83429201450548829</v>
      </c>
      <c r="G32" s="24">
        <f t="shared" si="4"/>
        <v>134.38740244594908</v>
      </c>
      <c r="H32" s="32">
        <f t="shared" si="13"/>
        <v>114.44546061416881</v>
      </c>
      <c r="I32" s="25">
        <f t="shared" si="5"/>
        <v>1.2833395132311962</v>
      </c>
      <c r="J32" s="26">
        <f t="shared" si="14"/>
        <v>0.45</v>
      </c>
      <c r="K32" s="27">
        <f t="shared" si="6"/>
        <v>134.1881382549673</v>
      </c>
      <c r="L32" s="28">
        <f t="shared" si="7"/>
        <v>1.2842920145054884</v>
      </c>
      <c r="M32" s="29">
        <f t="shared" si="8"/>
        <v>0.44904749872570793</v>
      </c>
      <c r="N32" s="53">
        <f t="shared" si="0"/>
        <v>-1.141688111274398E-3</v>
      </c>
      <c r="W32" s="4">
        <f t="shared" si="9"/>
        <v>1</v>
      </c>
    </row>
    <row r="33" spans="1:23">
      <c r="A33" s="20">
        <f t="shared" si="1"/>
        <v>364.7235333974948</v>
      </c>
      <c r="B33" s="21">
        <f t="shared" si="10"/>
        <v>178.75</v>
      </c>
      <c r="C33" s="21">
        <f t="shared" si="11"/>
        <v>178.75</v>
      </c>
      <c r="D33" s="22">
        <f t="shared" si="2"/>
        <v>178.75</v>
      </c>
      <c r="E33" s="31">
        <f t="shared" si="12"/>
        <v>209.44947522963884</v>
      </c>
      <c r="F33" s="23">
        <f t="shared" si="3"/>
        <v>0.82254083580903536</v>
      </c>
      <c r="G33" s="24">
        <f t="shared" si="4"/>
        <v>136.95564181985975</v>
      </c>
      <c r="H33" s="32">
        <f t="shared" si="13"/>
        <v>114.44546061416881</v>
      </c>
      <c r="I33" s="25">
        <f t="shared" si="5"/>
        <v>1.2712497548526993</v>
      </c>
      <c r="J33" s="26">
        <f t="shared" si="14"/>
        <v>0.45</v>
      </c>
      <c r="K33" s="27">
        <f t="shared" si="6"/>
        <v>136.6778807963255</v>
      </c>
      <c r="L33" s="28">
        <f t="shared" si="7"/>
        <v>1.2725408358090353</v>
      </c>
      <c r="M33" s="29">
        <f t="shared" si="8"/>
        <v>0.44870891904366395</v>
      </c>
      <c r="N33" s="53">
        <f t="shared" si="0"/>
        <v>-1.5696253609903555E-3</v>
      </c>
      <c r="W33" s="4">
        <f t="shared" si="9"/>
        <v>1</v>
      </c>
    </row>
    <row r="34" spans="1:23">
      <c r="A34" s="20">
        <f t="shared" si="1"/>
        <v>369.78938065676203</v>
      </c>
      <c r="B34" s="21">
        <f t="shared" si="10"/>
        <v>183.75</v>
      </c>
      <c r="C34" s="21">
        <f t="shared" si="11"/>
        <v>183.75</v>
      </c>
      <c r="D34" s="22">
        <f t="shared" si="2"/>
        <v>183.75</v>
      </c>
      <c r="E34" s="31">
        <f t="shared" si="12"/>
        <v>209.44947522963884</v>
      </c>
      <c r="F34" s="23">
        <f t="shared" si="3"/>
        <v>0.81127262082861051</v>
      </c>
      <c r="G34" s="24">
        <f t="shared" si="4"/>
        <v>139.48587277968633</v>
      </c>
      <c r="H34" s="32">
        <f t="shared" si="13"/>
        <v>114.44546061416881</v>
      </c>
      <c r="I34" s="25">
        <f t="shared" si="5"/>
        <v>1.2596669469484587</v>
      </c>
      <c r="J34" s="26">
        <f t="shared" si="14"/>
        <v>0.45</v>
      </c>
      <c r="K34" s="27">
        <f t="shared" si="6"/>
        <v>139.13095147850967</v>
      </c>
      <c r="L34" s="28">
        <f t="shared" si="7"/>
        <v>1.2612726208286105</v>
      </c>
      <c r="M34" s="29">
        <f t="shared" si="8"/>
        <v>0.4483943261198482</v>
      </c>
      <c r="N34" s="53">
        <f t="shared" si="0"/>
        <v>-1.9792038322602647E-3</v>
      </c>
      <c r="W34" s="4">
        <f t="shared" si="9"/>
        <v>1</v>
      </c>
    </row>
    <row r="35" spans="1:23">
      <c r="A35" s="20">
        <f t="shared" si="1"/>
        <v>374.78676107764238</v>
      </c>
      <c r="B35" s="21">
        <f t="shared" si="10"/>
        <v>188.75</v>
      </c>
      <c r="C35" s="21">
        <f t="shared" si="11"/>
        <v>188.75</v>
      </c>
      <c r="D35" s="22">
        <f t="shared" si="2"/>
        <v>188.75</v>
      </c>
      <c r="E35" s="31">
        <f t="shared" si="12"/>
        <v>209.44947522963884</v>
      </c>
      <c r="F35" s="23">
        <f t="shared" si="3"/>
        <v>0.80045516852675258</v>
      </c>
      <c r="G35" s="24">
        <f t="shared" si="4"/>
        <v>141.97893288062764</v>
      </c>
      <c r="H35" s="32">
        <f t="shared" si="13"/>
        <v>114.44546061416881</v>
      </c>
      <c r="I35" s="25">
        <f t="shared" si="5"/>
        <v>1.2485584898932132</v>
      </c>
      <c r="J35" s="26">
        <f t="shared" si="14"/>
        <v>0.45</v>
      </c>
      <c r="K35" s="27">
        <f t="shared" si="6"/>
        <v>141.54855490608182</v>
      </c>
      <c r="L35" s="28">
        <f t="shared" si="7"/>
        <v>1.2504551685267526</v>
      </c>
      <c r="M35" s="29">
        <f t="shared" si="8"/>
        <v>0.44810332136646058</v>
      </c>
      <c r="N35" s="53">
        <f t="shared" si="0"/>
        <v>-2.3695001395647032E-3</v>
      </c>
      <c r="W35" s="4">
        <f t="shared" si="9"/>
        <v>1</v>
      </c>
    </row>
    <row r="36" spans="1:23">
      <c r="A36" s="20">
        <f t="shared" si="1"/>
        <v>379.7183778955503</v>
      </c>
      <c r="B36" s="21">
        <f t="shared" si="10"/>
        <v>193.75</v>
      </c>
      <c r="C36" s="21">
        <f t="shared" si="11"/>
        <v>193.75</v>
      </c>
      <c r="D36" s="22">
        <f t="shared" si="2"/>
        <v>193.75</v>
      </c>
      <c r="E36" s="31">
        <f t="shared" si="12"/>
        <v>209.44947522963884</v>
      </c>
      <c r="F36" s="23">
        <f t="shared" si="3"/>
        <v>0.79005920562138676</v>
      </c>
      <c r="G36" s="24">
        <f t="shared" si="4"/>
        <v>144.43563524878169</v>
      </c>
      <c r="H36" s="32">
        <f t="shared" si="13"/>
        <v>114.44546061416881</v>
      </c>
      <c r="I36" s="25">
        <f t="shared" si="5"/>
        <v>1.2378945987563164</v>
      </c>
      <c r="J36" s="26">
        <f t="shared" si="14"/>
        <v>0.45</v>
      </c>
      <c r="K36" s="27">
        <f t="shared" si="6"/>
        <v>143.93183108595122</v>
      </c>
      <c r="L36" s="28">
        <f t="shared" si="7"/>
        <v>1.2400592056213868</v>
      </c>
      <c r="M36" s="29">
        <f t="shared" si="8"/>
        <v>0.44783539313492959</v>
      </c>
      <c r="N36" s="53">
        <f t="shared" si="0"/>
        <v>-2.7398033586203707E-3</v>
      </c>
      <c r="W36" s="4">
        <f t="shared" si="9"/>
        <v>1</v>
      </c>
    </row>
    <row r="37" spans="1:23">
      <c r="A37" s="20">
        <f t="shared" si="1"/>
        <v>384.58676101003022</v>
      </c>
      <c r="B37" s="21">
        <f t="shared" si="10"/>
        <v>198.75</v>
      </c>
      <c r="C37" s="21">
        <f t="shared" si="11"/>
        <v>198.75</v>
      </c>
      <c r="D37" s="22">
        <f t="shared" si="2"/>
        <v>198.75</v>
      </c>
      <c r="E37" s="31">
        <f t="shared" si="12"/>
        <v>209.44947522963884</v>
      </c>
      <c r="F37" s="23">
        <f t="shared" si="3"/>
        <v>0.78005805299204212</v>
      </c>
      <c r="G37" s="24">
        <f t="shared" si="4"/>
        <v>146.85676946535767</v>
      </c>
      <c r="H37" s="32">
        <f t="shared" si="13"/>
        <v>114.44546061416881</v>
      </c>
      <c r="I37" s="25">
        <f t="shared" si="5"/>
        <v>1.2276480002286632</v>
      </c>
      <c r="J37" s="26">
        <f t="shared" si="14"/>
        <v>0.45</v>
      </c>
      <c r="K37" s="27">
        <f t="shared" si="6"/>
        <v>146.28186028579091</v>
      </c>
      <c r="L37" s="28">
        <f t="shared" si="7"/>
        <v>1.2300580529920422</v>
      </c>
      <c r="M37" s="29">
        <f t="shared" si="8"/>
        <v>0.44758994723662104</v>
      </c>
      <c r="N37" s="53">
        <f t="shared" si="0"/>
        <v>-3.0895812871039657E-3</v>
      </c>
      <c r="W37" s="4">
        <f t="shared" si="9"/>
        <v>1</v>
      </c>
    </row>
    <row r="38" spans="1:23">
      <c r="A38" s="20">
        <f t="shared" si="1"/>
        <v>389.39428215722967</v>
      </c>
      <c r="B38" s="21">
        <f t="shared" si="10"/>
        <v>203.75</v>
      </c>
      <c r="C38" s="21">
        <f t="shared" si="11"/>
        <v>203.75</v>
      </c>
      <c r="D38" s="22">
        <f t="shared" si="2"/>
        <v>203.75</v>
      </c>
      <c r="E38" s="31">
        <f t="shared" si="12"/>
        <v>209.44947522963884</v>
      </c>
      <c r="F38" s="23">
        <f t="shared" si="3"/>
        <v>0.77042733739697278</v>
      </c>
      <c r="G38" s="24">
        <f t="shared" si="4"/>
        <v>149.24310241275839</v>
      </c>
      <c r="H38" s="32">
        <f t="shared" si="13"/>
        <v>114.44546061416881</v>
      </c>
      <c r="I38" s="25">
        <f t="shared" si="5"/>
        <v>1.2177936683972492</v>
      </c>
      <c r="J38" s="26">
        <f t="shared" si="14"/>
        <v>0.45</v>
      </c>
      <c r="K38" s="27">
        <f t="shared" si="6"/>
        <v>148.59966742255347</v>
      </c>
      <c r="L38" s="28">
        <f t="shared" si="7"/>
        <v>1.2204273373969727</v>
      </c>
      <c r="M38" s="29">
        <f t="shared" si="8"/>
        <v>0.44736633100027645</v>
      </c>
      <c r="N38" s="53">
        <f t="shared" si="0"/>
        <v>-3.4184521652903485E-3</v>
      </c>
      <c r="W38" s="4">
        <f t="shared" si="9"/>
        <v>1</v>
      </c>
    </row>
    <row r="39" spans="1:23">
      <c r="A39" s="20">
        <f t="shared" si="1"/>
        <v>394.1431684163793</v>
      </c>
      <c r="B39" s="21">
        <f t="shared" si="10"/>
        <v>208.75</v>
      </c>
      <c r="C39" s="21">
        <f t="shared" si="11"/>
        <v>208.75</v>
      </c>
      <c r="D39" s="22">
        <f t="shared" si="2"/>
        <v>208.75</v>
      </c>
      <c r="E39" s="31">
        <f t="shared" si="12"/>
        <v>209.44947522963884</v>
      </c>
      <c r="F39" s="23">
        <f t="shared" si="3"/>
        <v>0.76114474140288813</v>
      </c>
      <c r="G39" s="24">
        <f t="shared" si="4"/>
        <v>151.59537908443906</v>
      </c>
      <c r="H39" s="32">
        <f t="shared" si="13"/>
        <v>114.44546061416881</v>
      </c>
      <c r="I39" s="25">
        <f t="shared" si="5"/>
        <v>1.2083085936244873</v>
      </c>
      <c r="J39" s="26">
        <f t="shared" si="14"/>
        <v>0.45</v>
      </c>
      <c r="K39" s="27">
        <f t="shared" si="6"/>
        <v>150.88622603641556</v>
      </c>
      <c r="L39" s="28">
        <f t="shared" si="7"/>
        <v>1.2111447414028882</v>
      </c>
      <c r="M39" s="29">
        <f t="shared" si="8"/>
        <v>0.44716385222159916</v>
      </c>
      <c r="N39" s="53">
        <f t="shared" si="0"/>
        <v>-3.7261609049199602E-3</v>
      </c>
      <c r="W39" s="4">
        <f t="shared" si="9"/>
        <v>1</v>
      </c>
    </row>
    <row r="40" spans="1:23">
      <c r="A40" s="20">
        <f t="shared" si="1"/>
        <v>398.83551426855223</v>
      </c>
      <c r="B40" s="21">
        <f t="shared" si="10"/>
        <v>213.75</v>
      </c>
      <c r="C40" s="21">
        <f t="shared" si="11"/>
        <v>213.75</v>
      </c>
      <c r="D40" s="22">
        <f t="shared" si="2"/>
        <v>213.75</v>
      </c>
      <c r="E40" s="31">
        <f t="shared" si="12"/>
        <v>209.44947522963884</v>
      </c>
      <c r="F40" s="23">
        <f t="shared" si="3"/>
        <v>0.75218978568191841</v>
      </c>
      <c r="G40" s="24">
        <f t="shared" si="4"/>
        <v>153.91432336033785</v>
      </c>
      <c r="H40" s="32">
        <f t="shared" si="13"/>
        <v>114.44546061416881</v>
      </c>
      <c r="I40" s="25">
        <f t="shared" si="5"/>
        <v>1.1991715797464746</v>
      </c>
      <c r="J40" s="26">
        <f t="shared" si="14"/>
        <v>0.45</v>
      </c>
      <c r="K40" s="27">
        <f t="shared" si="6"/>
        <v>153.14246189783731</v>
      </c>
      <c r="L40" s="28">
        <f t="shared" si="7"/>
        <v>1.2021897856819184</v>
      </c>
      <c r="M40" s="29">
        <f t="shared" si="8"/>
        <v>0.44698179406455618</v>
      </c>
      <c r="N40" s="53">
        <f t="shared" si="0"/>
        <v>-4.0125590547704544E-3</v>
      </c>
      <c r="W40" s="4">
        <f t="shared" si="9"/>
        <v>1</v>
      </c>
    </row>
    <row r="41" spans="1:23">
      <c r="A41" s="20">
        <f t="shared" si="1"/>
        <v>403.47329239296454</v>
      </c>
      <c r="B41" s="21">
        <f t="shared" si="10"/>
        <v>218.75</v>
      </c>
      <c r="C41" s="21">
        <f t="shared" si="11"/>
        <v>218.75</v>
      </c>
      <c r="D41" s="22">
        <f t="shared" si="2"/>
        <v>218.75</v>
      </c>
      <c r="E41" s="31">
        <f t="shared" si="12"/>
        <v>209.44947522963884</v>
      </c>
      <c r="F41" s="23">
        <f t="shared" si="3"/>
        <v>0.74354363883846297</v>
      </c>
      <c r="G41" s="24">
        <f t="shared" si="4"/>
        <v>156.20063874957449</v>
      </c>
      <c r="H41" s="32">
        <f t="shared" si="13"/>
        <v>114.44546061416881</v>
      </c>
      <c r="I41" s="25">
        <f t="shared" si="5"/>
        <v>1.1903630655846906</v>
      </c>
      <c r="J41" s="26">
        <f t="shared" si="14"/>
        <v>0.45</v>
      </c>
      <c r="K41" s="27">
        <f t="shared" si="6"/>
        <v>155.36925628898845</v>
      </c>
      <c r="L41" s="28">
        <f t="shared" si="7"/>
        <v>1.193543638838463</v>
      </c>
      <c r="M41" s="29">
        <f t="shared" si="8"/>
        <v>0.44681942674622765</v>
      </c>
      <c r="N41" s="53">
        <f t="shared" si="0"/>
        <v>-4.277587874655122E-3</v>
      </c>
      <c r="W41" s="4">
        <f t="shared" si="9"/>
        <v>1</v>
      </c>
    </row>
    <row r="42" spans="1:23">
      <c r="A42" s="20">
        <f t="shared" si="1"/>
        <v>408.05836335869498</v>
      </c>
      <c r="B42" s="21">
        <f t="shared" si="10"/>
        <v>223.75</v>
      </c>
      <c r="C42" s="21">
        <f t="shared" si="11"/>
        <v>223.75</v>
      </c>
      <c r="D42" s="22">
        <f t="shared" si="2"/>
        <v>223.75</v>
      </c>
      <c r="E42" s="31">
        <f t="shared" si="12"/>
        <v>209.44947522963884</v>
      </c>
      <c r="F42" s="23">
        <f t="shared" si="3"/>
        <v>0.73518895074401747</v>
      </c>
      <c r="G42" s="24">
        <f t="shared" si="4"/>
        <v>158.45500910201713</v>
      </c>
      <c r="H42" s="32">
        <f t="shared" si="13"/>
        <v>114.44546061416881</v>
      </c>
      <c r="I42" s="25">
        <f t="shared" si="5"/>
        <v>1.1818649674048958</v>
      </c>
      <c r="J42" s="26">
        <f t="shared" si="14"/>
        <v>0.45</v>
      </c>
      <c r="K42" s="27">
        <f t="shared" si="6"/>
        <v>157.56744899534934</v>
      </c>
      <c r="L42" s="28">
        <f t="shared" si="7"/>
        <v>1.1851889507440174</v>
      </c>
      <c r="M42" s="29">
        <f t="shared" si="8"/>
        <v>0.44667601666087831</v>
      </c>
      <c r="N42" s="53">
        <f t="shared" si="0"/>
        <v>-4.5212640039785775E-3</v>
      </c>
      <c r="W42" s="4">
        <f t="shared" si="9"/>
        <v>1</v>
      </c>
    </row>
    <row r="43" spans="1:23">
      <c r="A43" s="20">
        <f t="shared" si="1"/>
        <v>412.59248434688544</v>
      </c>
      <c r="B43" s="21">
        <f t="shared" si="10"/>
        <v>228.75</v>
      </c>
      <c r="C43" s="21">
        <f t="shared" si="11"/>
        <v>228.75</v>
      </c>
      <c r="D43" s="22">
        <f t="shared" si="2"/>
        <v>228.75</v>
      </c>
      <c r="E43" s="31">
        <f t="shared" si="12"/>
        <v>209.44947522963884</v>
      </c>
      <c r="F43" s="23">
        <f t="shared" si="3"/>
        <v>0.72710970602115044</v>
      </c>
      <c r="G43" s="24">
        <f t="shared" si="4"/>
        <v>160.67809929022954</v>
      </c>
      <c r="H43" s="32">
        <f t="shared" si="13"/>
        <v>114.44546061416881</v>
      </c>
      <c r="I43" s="25">
        <f t="shared" si="5"/>
        <v>1.1736605394830644</v>
      </c>
      <c r="J43" s="26">
        <f t="shared" si="14"/>
        <v>0.45</v>
      </c>
      <c r="K43" s="27">
        <f t="shared" si="6"/>
        <v>159.73784103866996</v>
      </c>
      <c r="L43" s="28">
        <f t="shared" si="7"/>
        <v>1.1771097060211504</v>
      </c>
      <c r="M43" s="29">
        <f t="shared" si="8"/>
        <v>0.44655083346191393</v>
      </c>
      <c r="N43" s="53">
        <f t="shared" si="0"/>
        <v>-4.743667302916939E-3</v>
      </c>
      <c r="W43" s="4">
        <f t="shared" si="9"/>
        <v>1</v>
      </c>
    </row>
    <row r="44" spans="1:23">
      <c r="A44" s="20">
        <f t="shared" si="1"/>
        <v>417.07731701939036</v>
      </c>
      <c r="B44" s="21">
        <f t="shared" si="10"/>
        <v>233.75</v>
      </c>
      <c r="C44" s="21">
        <f t="shared" si="11"/>
        <v>233.75</v>
      </c>
      <c r="D44" s="22">
        <f t="shared" si="2"/>
        <v>233.75</v>
      </c>
      <c r="E44" s="31">
        <f t="shared" si="12"/>
        <v>209.44947522963884</v>
      </c>
      <c r="F44" s="23">
        <f t="shared" si="3"/>
        <v>0.71929109485964371</v>
      </c>
      <c r="G44" s="24">
        <f t="shared" si="4"/>
        <v>162.87055586322708</v>
      </c>
      <c r="H44" s="32">
        <f t="shared" si="13"/>
        <v>114.44546061416881</v>
      </c>
      <c r="I44" s="25">
        <f t="shared" si="5"/>
        <v>1.1657342503730761</v>
      </c>
      <c r="J44" s="26">
        <f t="shared" si="14"/>
        <v>0.45</v>
      </c>
      <c r="K44" s="27">
        <f t="shared" si="6"/>
        <v>161.88119717853391</v>
      </c>
      <c r="L44" s="28">
        <f t="shared" si="7"/>
        <v>1.1692910948596438</v>
      </c>
      <c r="M44" s="29">
        <f t="shared" si="8"/>
        <v>0.44644315551343239</v>
      </c>
      <c r="N44" s="53">
        <f t="shared" si="0"/>
        <v>-4.9449305183761174E-3</v>
      </c>
      <c r="W44" s="4">
        <f t="shared" si="9"/>
        <v>1</v>
      </c>
    </row>
    <row r="45" spans="1:23">
      <c r="A45" s="20">
        <f t="shared" si="1"/>
        <v>421.51443463379894</v>
      </c>
      <c r="B45" s="21">
        <f t="shared" si="10"/>
        <v>238.75</v>
      </c>
      <c r="C45" s="21">
        <f t="shared" si="11"/>
        <v>238.75</v>
      </c>
      <c r="D45" s="22">
        <f t="shared" si="2"/>
        <v>238.75</v>
      </c>
      <c r="E45" s="31">
        <f t="shared" si="12"/>
        <v>209.44947522963884</v>
      </c>
      <c r="F45" s="23">
        <f t="shared" si="3"/>
        <v>0.71171939879267099</v>
      </c>
      <c r="G45" s="24">
        <f t="shared" si="4"/>
        <v>165.03300767339198</v>
      </c>
      <c r="H45" s="32">
        <f t="shared" si="13"/>
        <v>114.44546061416881</v>
      </c>
      <c r="I45" s="25">
        <f t="shared" si="5"/>
        <v>1.1580716728318279</v>
      </c>
      <c r="J45" s="26">
        <f t="shared" si="14"/>
        <v>0.45</v>
      </c>
      <c r="K45" s="27">
        <f t="shared" si="6"/>
        <v>163.99824820639918</v>
      </c>
      <c r="L45" s="28">
        <f t="shared" si="7"/>
        <v>1.1617193987926711</v>
      </c>
      <c r="M45" s="29">
        <f t="shared" si="8"/>
        <v>0.44635227403915689</v>
      </c>
      <c r="N45" s="53">
        <f t="shared" si="0"/>
        <v>-5.1252304869460596E-3</v>
      </c>
      <c r="W45" s="4">
        <f t="shared" si="9"/>
        <v>1</v>
      </c>
    </row>
    <row r="46" spans="1:23">
      <c r="A46" s="20">
        <f t="shared" si="1"/>
        <v>425.90532849121445</v>
      </c>
      <c r="B46" s="21">
        <f t="shared" si="10"/>
        <v>243.75</v>
      </c>
      <c r="C46" s="21">
        <f t="shared" si="11"/>
        <v>243.75</v>
      </c>
      <c r="D46" s="22">
        <f t="shared" si="2"/>
        <v>243.75</v>
      </c>
      <c r="E46" s="31">
        <f t="shared" si="12"/>
        <v>209.44947522963884</v>
      </c>
      <c r="F46" s="23">
        <f t="shared" si="3"/>
        <v>0.7043818894277778</v>
      </c>
      <c r="G46" s="24">
        <f t="shared" si="4"/>
        <v>167.16606647782456</v>
      </c>
      <c r="H46" s="32">
        <f t="shared" si="13"/>
        <v>114.44546061416881</v>
      </c>
      <c r="I46" s="25">
        <f t="shared" si="5"/>
        <v>1.1506593856582337</v>
      </c>
      <c r="J46" s="26">
        <f t="shared" si="14"/>
        <v>0.45</v>
      </c>
      <c r="K46" s="27">
        <f t="shared" si="6"/>
        <v>166.08969305309671</v>
      </c>
      <c r="L46" s="28">
        <f t="shared" si="7"/>
        <v>1.1543818894277778</v>
      </c>
      <c r="M46" s="29">
        <f t="shared" si="8"/>
        <v>0.44627749623045587</v>
      </c>
      <c r="N46" s="53">
        <f t="shared" si="0"/>
        <v>-5.2847806359249353E-3</v>
      </c>
      <c r="W46" s="4">
        <f t="shared" si="9"/>
        <v>1</v>
      </c>
    </row>
    <row r="47" spans="1:23">
      <c r="A47" s="20">
        <f t="shared" si="1"/>
        <v>430.25141379171254</v>
      </c>
      <c r="B47" s="21">
        <f t="shared" si="10"/>
        <v>248.75</v>
      </c>
      <c r="C47" s="21">
        <f t="shared" si="11"/>
        <v>248.75</v>
      </c>
      <c r="D47" s="22">
        <f t="shared" si="2"/>
        <v>248.75</v>
      </c>
      <c r="E47" s="31">
        <f t="shared" si="12"/>
        <v>209.44947522963884</v>
      </c>
      <c r="F47" s="23">
        <f t="shared" si="3"/>
        <v>0.69726673843129294</v>
      </c>
      <c r="G47" s="24">
        <f t="shared" si="4"/>
        <v>169.27032751533844</v>
      </c>
      <c r="H47" s="32">
        <f t="shared" si="13"/>
        <v>114.44546061416881</v>
      </c>
      <c r="I47" s="25">
        <f t="shared" si="5"/>
        <v>1.1434848859542182</v>
      </c>
      <c r="J47" s="26">
        <f t="shared" si="14"/>
        <v>0.45</v>
      </c>
      <c r="K47" s="27">
        <f t="shared" si="6"/>
        <v>168.15620072827446</v>
      </c>
      <c r="L47" s="28">
        <f t="shared" si="7"/>
        <v>1.1472667384312929</v>
      </c>
      <c r="M47" s="29">
        <f t="shared" si="8"/>
        <v>0.44621814752292521</v>
      </c>
      <c r="N47" s="53">
        <f t="shared" si="0"/>
        <v>-5.4238245833770739E-3</v>
      </c>
      <c r="W47" s="4">
        <f t="shared" si="9"/>
        <v>1</v>
      </c>
    </row>
    <row r="48" spans="1:23">
      <c r="A48" s="20">
        <f t="shared" si="1"/>
        <v>434.55403496265637</v>
      </c>
      <c r="B48" s="21">
        <f t="shared" si="10"/>
        <v>253.75</v>
      </c>
      <c r="C48" s="21">
        <f t="shared" si="11"/>
        <v>253.75</v>
      </c>
      <c r="D48" s="22">
        <f t="shared" si="2"/>
        <v>253.75</v>
      </c>
      <c r="E48" s="31">
        <f t="shared" si="12"/>
        <v>209.44947522963884</v>
      </c>
      <c r="F48" s="23">
        <f t="shared" si="3"/>
        <v>0.69036293731752063</v>
      </c>
      <c r="G48" s="24">
        <f t="shared" si="4"/>
        <v>171.34637006024309</v>
      </c>
      <c r="H48" s="32">
        <f t="shared" si="13"/>
        <v>114.44546061416881</v>
      </c>
      <c r="I48" s="25">
        <f t="shared" si="5"/>
        <v>1.1365365105270788</v>
      </c>
      <c r="J48" s="26">
        <f t="shared" si="14"/>
        <v>0.45</v>
      </c>
      <c r="K48" s="27">
        <f t="shared" si="6"/>
        <v>170.19841210812089</v>
      </c>
      <c r="L48" s="28">
        <f t="shared" si="7"/>
        <v>1.1403629373175206</v>
      </c>
      <c r="M48" s="29">
        <f t="shared" si="8"/>
        <v>0.44617357320955819</v>
      </c>
      <c r="N48" s="53">
        <f t="shared" si="0"/>
        <v>-5.5426306709189946E-3</v>
      </c>
      <c r="W48" s="4">
        <f t="shared" si="9"/>
        <v>1</v>
      </c>
    </row>
    <row r="49" spans="1:23">
      <c r="A49" s="20">
        <f t="shared" si="1"/>
        <v>438.81447051673649</v>
      </c>
      <c r="B49" s="21">
        <f t="shared" si="10"/>
        <v>258.75</v>
      </c>
      <c r="C49" s="21">
        <f t="shared" si="11"/>
        <v>258.75</v>
      </c>
      <c r="D49" s="22">
        <f t="shared" si="2"/>
        <v>258.75</v>
      </c>
      <c r="E49" s="31">
        <f t="shared" si="12"/>
        <v>209.44947522963884</v>
      </c>
      <c r="F49" s="23">
        <f t="shared" si="3"/>
        <v>0.68366022580506025</v>
      </c>
      <c r="G49" s="24">
        <f t="shared" si="4"/>
        <v>173.39475795399568</v>
      </c>
      <c r="H49" s="32">
        <f t="shared" si="13"/>
        <v>114.44546061416881</v>
      </c>
      <c r="I49" s="25">
        <f t="shared" si="5"/>
        <v>1.1298033653306112</v>
      </c>
      <c r="J49" s="26">
        <f t="shared" si="14"/>
        <v>0.45</v>
      </c>
      <c r="K49" s="27">
        <f t="shared" si="6"/>
        <v>172.21694158583608</v>
      </c>
      <c r="L49" s="28">
        <f t="shared" si="7"/>
        <v>1.1336602258050603</v>
      </c>
      <c r="M49" s="29">
        <f t="shared" si="8"/>
        <v>0.44614313952555096</v>
      </c>
      <c r="N49" s="53">
        <f t="shared" si="0"/>
        <v>-5.6414872898409669E-3</v>
      </c>
      <c r="W49" s="4">
        <f t="shared" si="9"/>
        <v>1</v>
      </c>
    </row>
    <row r="50" spans="1:23">
      <c r="A50" s="20">
        <f t="shared" si="1"/>
        <v>443.03393748949054</v>
      </c>
      <c r="B50" s="21">
        <f t="shared" si="10"/>
        <v>263.75</v>
      </c>
      <c r="C50" s="21">
        <f t="shared" si="11"/>
        <v>263.75</v>
      </c>
      <c r="D50" s="22">
        <f t="shared" si="2"/>
        <v>263.75</v>
      </c>
      <c r="E50" s="31">
        <f t="shared" si="12"/>
        <v>209.44947522963884</v>
      </c>
      <c r="F50" s="23">
        <f t="shared" si="3"/>
        <v>0.67714902767943475</v>
      </c>
      <c r="G50" s="24">
        <f t="shared" si="4"/>
        <v>175.41604011574751</v>
      </c>
      <c r="H50" s="32">
        <f t="shared" si="13"/>
        <v>114.44546061416881</v>
      </c>
      <c r="I50" s="25">
        <f t="shared" si="5"/>
        <v>1.1232752619928912</v>
      </c>
      <c r="J50" s="26">
        <f t="shared" si="14"/>
        <v>0.45</v>
      </c>
      <c r="K50" s="27">
        <f t="shared" si="6"/>
        <v>174.21237859769619</v>
      </c>
      <c r="L50" s="28">
        <f t="shared" si="7"/>
        <v>1.1271490276794347</v>
      </c>
      <c r="M50" s="29">
        <f t="shared" si="8"/>
        <v>0.44612623431345644</v>
      </c>
      <c r="N50" s="53">
        <f t="shared" si="0"/>
        <v>-5.7206988834035966E-3</v>
      </c>
      <c r="W50" s="4">
        <f t="shared" si="9"/>
        <v>1</v>
      </c>
    </row>
    <row r="51" spans="1:23">
      <c r="A51" s="20">
        <f t="shared" si="1"/>
        <v>447.21359549995788</v>
      </c>
      <c r="B51" s="21">
        <f t="shared" si="10"/>
        <v>268.75</v>
      </c>
      <c r="C51" s="21">
        <f t="shared" si="11"/>
        <v>268.75</v>
      </c>
      <c r="D51" s="22">
        <f t="shared" si="2"/>
        <v>268.75</v>
      </c>
      <c r="E51" s="31">
        <f t="shared" si="12"/>
        <v>209.44947522963884</v>
      </c>
      <c r="F51" s="23">
        <f t="shared" si="3"/>
        <v>0.67082039324993703</v>
      </c>
      <c r="G51" s="24">
        <f t="shared" si="4"/>
        <v>177.4107510327556</v>
      </c>
      <c r="H51" s="32">
        <f t="shared" si="13"/>
        <v>114.44546061416881</v>
      </c>
      <c r="I51" s="25">
        <f t="shared" si="5"/>
        <v>1.116942660606256</v>
      </c>
      <c r="J51" s="26">
        <f t="shared" si="14"/>
        <v>0.45</v>
      </c>
      <c r="K51" s="27">
        <f t="shared" si="6"/>
        <v>176.18528903614384</v>
      </c>
      <c r="L51" s="28">
        <f t="shared" si="7"/>
        <v>1.120820393249937</v>
      </c>
      <c r="M51" s="29">
        <f t="shared" si="8"/>
        <v>0.44612226735631899</v>
      </c>
      <c r="N51" s="53">
        <f t="shared" si="0"/>
        <v>-5.7805825265604864E-3</v>
      </c>
      <c r="W51" s="4">
        <f t="shared" si="9"/>
        <v>1</v>
      </c>
    </row>
    <row r="52" spans="1:23">
      <c r="A52" s="20">
        <f t="shared" si="1"/>
        <v>451.35455047286075</v>
      </c>
      <c r="B52" s="21">
        <f t="shared" si="10"/>
        <v>273.75</v>
      </c>
      <c r="C52" s="21">
        <f t="shared" si="11"/>
        <v>273.75</v>
      </c>
      <c r="D52" s="22">
        <f t="shared" si="2"/>
        <v>273.75</v>
      </c>
      <c r="E52" s="31">
        <f t="shared" si="12"/>
        <v>209.44947522963884</v>
      </c>
      <c r="F52" s="23">
        <f t="shared" si="3"/>
        <v>0.6646659476141441</v>
      </c>
      <c r="G52" s="24">
        <f t="shared" si="4"/>
        <v>179.37941123158049</v>
      </c>
      <c r="H52" s="32">
        <f t="shared" si="13"/>
        <v>114.44546061416881</v>
      </c>
      <c r="I52" s="25">
        <f t="shared" si="5"/>
        <v>1.1107966180636268</v>
      </c>
      <c r="J52" s="26">
        <f t="shared" si="14"/>
        <v>0.45</v>
      </c>
      <c r="K52" s="27">
        <f t="shared" si="6"/>
        <v>178.13621656010022</v>
      </c>
      <c r="L52" s="28">
        <f t="shared" si="7"/>
        <v>1.1146659476141441</v>
      </c>
      <c r="M52" s="29">
        <f t="shared" si="8"/>
        <v>0.44613067044948274</v>
      </c>
      <c r="N52" s="53">
        <f t="shared" si="0"/>
        <v>-5.8214649996836034E-3</v>
      </c>
      <c r="W52" s="4">
        <f t="shared" si="9"/>
        <v>1</v>
      </c>
    </row>
    <row r="53" spans="1:23">
      <c r="A53" s="20">
        <f t="shared" si="1"/>
        <v>455.45785805617214</v>
      </c>
      <c r="B53" s="21">
        <f t="shared" si="10"/>
        <v>278.75</v>
      </c>
      <c r="C53" s="21">
        <f t="shared" si="11"/>
        <v>278.75</v>
      </c>
      <c r="D53" s="22">
        <f t="shared" si="2"/>
        <v>278.75</v>
      </c>
      <c r="E53" s="31">
        <f t="shared" si="12"/>
        <v>209.44947522963884</v>
      </c>
      <c r="F53" s="23">
        <f t="shared" si="3"/>
        <v>0.65867784404984542</v>
      </c>
      <c r="G53" s="24">
        <f t="shared" si="4"/>
        <v>181.32252773094226</v>
      </c>
      <c r="H53" s="32">
        <f t="shared" si="13"/>
        <v>114.44546061416881</v>
      </c>
      <c r="I53" s="25">
        <f t="shared" si="5"/>
        <v>1.1048287413180071</v>
      </c>
      <c r="J53" s="26">
        <f t="shared" si="14"/>
        <v>0.45</v>
      </c>
      <c r="K53" s="27">
        <f t="shared" si="6"/>
        <v>180.06568381161406</v>
      </c>
      <c r="L53" s="28">
        <f t="shared" si="7"/>
        <v>1.1086778440498455</v>
      </c>
      <c r="M53" s="29">
        <f t="shared" si="8"/>
        <v>0.44615089726816171</v>
      </c>
      <c r="N53" s="53">
        <f t="shared" si="0"/>
        <v>-5.843680285604118E-3</v>
      </c>
      <c r="W53" s="4">
        <f t="shared" si="9"/>
        <v>1</v>
      </c>
    </row>
    <row r="54" spans="1:23">
      <c r="A54" s="20">
        <f t="shared" si="1"/>
        <v>459.52452676399594</v>
      </c>
      <c r="B54" s="21">
        <f t="shared" si="10"/>
        <v>283.75</v>
      </c>
      <c r="C54" s="21">
        <f t="shared" si="11"/>
        <v>283.75</v>
      </c>
      <c r="D54" s="22">
        <f t="shared" si="2"/>
        <v>283.75</v>
      </c>
      <c r="E54" s="31">
        <f t="shared" si="12"/>
        <v>209.44947522963884</v>
      </c>
      <c r="F54" s="23">
        <f t="shared" si="3"/>
        <v>0.65284872194444354</v>
      </c>
      <c r="G54" s="24">
        <f t="shared" si="4"/>
        <v>183.24059447706225</v>
      </c>
      <c r="H54" s="32">
        <f t="shared" si="13"/>
        <v>114.44546061416881</v>
      </c>
      <c r="I54" s="25">
        <f t="shared" si="5"/>
        <v>1.0990311450213115</v>
      </c>
      <c r="J54" s="26">
        <f t="shared" si="14"/>
        <v>0.45</v>
      </c>
      <c r="K54" s="27">
        <f t="shared" si="6"/>
        <v>181.97419354701043</v>
      </c>
      <c r="L54" s="28">
        <f t="shared" si="7"/>
        <v>1.1028487219444436</v>
      </c>
      <c r="M54" s="29">
        <f t="shared" si="8"/>
        <v>0.44618242307686795</v>
      </c>
      <c r="N54" s="53">
        <f t="shared" si="0"/>
        <v>-5.8475674299580385E-3</v>
      </c>
      <c r="W54" s="4">
        <f t="shared" si="9"/>
        <v>1</v>
      </c>
    </row>
    <row r="55" spans="1:23">
      <c r="A55" s="20">
        <f t="shared" si="1"/>
        <v>463.55552087126796</v>
      </c>
      <c r="B55" s="21">
        <f t="shared" si="10"/>
        <v>288.75</v>
      </c>
      <c r="C55" s="21">
        <f t="shared" si="11"/>
        <v>288.75</v>
      </c>
      <c r="D55" s="22">
        <f t="shared" si="2"/>
        <v>288.75</v>
      </c>
      <c r="E55" s="31">
        <f t="shared" si="12"/>
        <v>209.44947522963884</v>
      </c>
      <c r="F55" s="23">
        <f t="shared" si="3"/>
        <v>0.64717166874884813</v>
      </c>
      <c r="G55" s="24">
        <f t="shared" si="4"/>
        <v>185.13409276227642</v>
      </c>
      <c r="H55" s="32">
        <f t="shared" si="13"/>
        <v>114.44546061416881</v>
      </c>
      <c r="I55" s="25">
        <f t="shared" si="5"/>
        <v>1.0933964130667491</v>
      </c>
      <c r="J55" s="26">
        <f t="shared" si="14"/>
        <v>0.45</v>
      </c>
      <c r="K55" s="27">
        <f t="shared" si="6"/>
        <v>183.86222968986539</v>
      </c>
      <c r="L55" s="28">
        <f t="shared" si="7"/>
        <v>1.0971716687488482</v>
      </c>
      <c r="M55" s="29">
        <f t="shared" si="8"/>
        <v>0.44622474431790093</v>
      </c>
      <c r="N55" s="53">
        <f t="shared" si="0"/>
        <v>-5.8334687137921726E-3</v>
      </c>
      <c r="W55" s="4">
        <f t="shared" si="9"/>
        <v>1</v>
      </c>
    </row>
    <row r="56" spans="1:23">
      <c r="A56" s="20">
        <f t="shared" si="1"/>
        <v>467.55176308382227</v>
      </c>
      <c r="B56" s="21">
        <f t="shared" si="10"/>
        <v>293.75</v>
      </c>
      <c r="C56" s="21">
        <f t="shared" si="11"/>
        <v>293.75</v>
      </c>
      <c r="D56" s="22">
        <f t="shared" si="2"/>
        <v>293.75</v>
      </c>
      <c r="E56" s="31">
        <f t="shared" si="12"/>
        <v>209.44947522963884</v>
      </c>
      <c r="F56" s="23">
        <f t="shared" si="3"/>
        <v>0.64164018550864976</v>
      </c>
      <c r="G56" s="24">
        <f t="shared" si="4"/>
        <v>187.00349162766491</v>
      </c>
      <c r="H56" s="32">
        <f t="shared" si="13"/>
        <v>114.44546061416881</v>
      </c>
      <c r="I56" s="25">
        <f t="shared" si="5"/>
        <v>1.0879175636175895</v>
      </c>
      <c r="J56" s="26">
        <f t="shared" si="14"/>
        <v>0.45</v>
      </c>
      <c r="K56" s="27">
        <f t="shared" si="6"/>
        <v>185.73025831239434</v>
      </c>
      <c r="L56" s="28">
        <f t="shared" si="7"/>
        <v>1.0916401855086497</v>
      </c>
      <c r="M56" s="29">
        <f t="shared" si="8"/>
        <v>0.44627737810893975</v>
      </c>
      <c r="N56" s="53">
        <f t="shared" si="0"/>
        <v>-5.8017280948655285E-3</v>
      </c>
      <c r="W56" s="4">
        <f t="shared" si="9"/>
        <v>1</v>
      </c>
    </row>
    <row r="57" spans="1:23">
      <c r="A57" s="20">
        <f t="shared" si="1"/>
        <v>471.51413700476553</v>
      </c>
      <c r="B57" s="21">
        <f t="shared" si="10"/>
        <v>298.75</v>
      </c>
      <c r="C57" s="21">
        <f t="shared" si="11"/>
        <v>298.75</v>
      </c>
      <c r="D57" s="22">
        <f t="shared" si="2"/>
        <v>298.75</v>
      </c>
      <c r="E57" s="31">
        <f t="shared" si="12"/>
        <v>209.44947522963884</v>
      </c>
      <c r="F57" s="23">
        <f t="shared" si="3"/>
        <v>0.63624815558174441</v>
      </c>
      <c r="G57" s="24">
        <f t="shared" si="4"/>
        <v>188.84924825040514</v>
      </c>
      <c r="H57" s="32">
        <f t="shared" si="13"/>
        <v>114.44546061416881</v>
      </c>
      <c r="I57" s="25">
        <f t="shared" si="5"/>
        <v>1.0825880172556728</v>
      </c>
      <c r="J57" s="26">
        <f t="shared" si="14"/>
        <v>0.45</v>
      </c>
      <c r="K57" s="27">
        <f t="shared" si="6"/>
        <v>187.57872855118868</v>
      </c>
      <c r="L57" s="28">
        <f t="shared" si="7"/>
        <v>1.0862481555817445</v>
      </c>
      <c r="M57" s="29">
        <f t="shared" si="8"/>
        <v>0.44633986167392836</v>
      </c>
      <c r="N57" s="53">
        <f t="shared" si="0"/>
        <v>-5.7526898804524688E-3</v>
      </c>
      <c r="W57" s="4">
        <f t="shared" si="9"/>
        <v>1</v>
      </c>
    </row>
    <row r="58" spans="1:23">
      <c r="A58" s="20">
        <f t="shared" si="1"/>
        <v>475.44348941583689</v>
      </c>
      <c r="B58" s="21">
        <f t="shared" si="10"/>
        <v>303.75</v>
      </c>
      <c r="C58" s="21">
        <f t="shared" si="11"/>
        <v>303.75</v>
      </c>
      <c r="D58" s="22">
        <f t="shared" si="2"/>
        <v>303.75</v>
      </c>
      <c r="E58" s="31">
        <f t="shared" si="12"/>
        <v>209.44947522963884</v>
      </c>
      <c r="F58" s="23">
        <f t="shared" si="3"/>
        <v>0.63098981620003036</v>
      </c>
      <c r="G58" s="24">
        <f t="shared" si="4"/>
        <v>190.67180831652107</v>
      </c>
      <c r="H58" s="32">
        <f t="shared" si="13"/>
        <v>114.44546061416881</v>
      </c>
      <c r="I58" s="25">
        <f t="shared" si="5"/>
        <v>1.0774015679267528</v>
      </c>
      <c r="J58" s="26">
        <f t="shared" si="14"/>
        <v>0.45</v>
      </c>
      <c r="K58" s="27">
        <f t="shared" si="6"/>
        <v>189.40807346265609</v>
      </c>
      <c r="L58" s="28">
        <f t="shared" si="7"/>
        <v>1.0809898162000304</v>
      </c>
      <c r="M58" s="29">
        <f t="shared" si="8"/>
        <v>0.44641175172672243</v>
      </c>
      <c r="N58" s="53">
        <f t="shared" si="0"/>
        <v>-5.6866975997914857E-3</v>
      </c>
      <c r="W58" s="4">
        <f t="shared" si="9"/>
        <v>1</v>
      </c>
    </row>
    <row r="59" spans="1:23">
      <c r="A59" s="20">
        <f t="shared" si="1"/>
        <v>479.34063239043809</v>
      </c>
      <c r="B59" s="21">
        <f t="shared" si="10"/>
        <v>308.75</v>
      </c>
      <c r="C59" s="21">
        <f t="shared" si="11"/>
        <v>308.75</v>
      </c>
      <c r="D59" s="22">
        <f t="shared" si="2"/>
        <v>308.75</v>
      </c>
      <c r="E59" s="31">
        <f t="shared" si="12"/>
        <v>209.44947522963884</v>
      </c>
      <c r="F59" s="23">
        <f t="shared" si="3"/>
        <v>0.62585973257455985</v>
      </c>
      <c r="G59" s="24">
        <f t="shared" si="4"/>
        <v>192.47160637966664</v>
      </c>
      <c r="H59" s="32">
        <f t="shared" si="13"/>
        <v>114.44546061416881</v>
      </c>
      <c r="I59" s="25">
        <f t="shared" si="5"/>
        <v>1.072352356397672</v>
      </c>
      <c r="J59" s="26">
        <f t="shared" si="14"/>
        <v>0.45</v>
      </c>
      <c r="K59" s="27">
        <f t="shared" si="6"/>
        <v>191.21871082300487</v>
      </c>
      <c r="L59" s="28">
        <f t="shared" si="7"/>
        <v>1.0758597325745598</v>
      </c>
      <c r="M59" s="29">
        <f t="shared" si="8"/>
        <v>0.44649262382311217</v>
      </c>
      <c r="N59" s="53">
        <f t="shared" si="0"/>
        <v>-5.6040930488685881E-3</v>
      </c>
      <c r="W59" s="4">
        <f t="shared" si="9"/>
        <v>1</v>
      </c>
    </row>
    <row r="60" spans="1:23">
      <c r="A60" s="20">
        <f t="shared" si="1"/>
        <v>483.20634525327091</v>
      </c>
      <c r="B60" s="21">
        <f t="shared" si="10"/>
        <v>313.75</v>
      </c>
      <c r="C60" s="21">
        <f t="shared" si="11"/>
        <v>313.75</v>
      </c>
      <c r="D60" s="22">
        <f t="shared" si="2"/>
        <v>313.75</v>
      </c>
      <c r="E60" s="31">
        <f t="shared" si="12"/>
        <v>209.44947522963884</v>
      </c>
      <c r="F60" s="23">
        <f t="shared" si="3"/>
        <v>0.62085277427960106</v>
      </c>
      <c r="G60" s="24">
        <f t="shared" si="4"/>
        <v>194.2490662065498</v>
      </c>
      <c r="H60" s="32">
        <f t="shared" si="13"/>
        <v>114.44546061416881</v>
      </c>
      <c r="I60" s="25">
        <f t="shared" si="5"/>
        <v>1.0674348459733194</v>
      </c>
      <c r="J60" s="26">
        <f t="shared" si="14"/>
        <v>0.45</v>
      </c>
      <c r="K60" s="27">
        <f t="shared" si="6"/>
        <v>193.01104387715728</v>
      </c>
      <c r="L60" s="28">
        <f t="shared" si="7"/>
        <v>1.070852774279601</v>
      </c>
      <c r="M60" s="29">
        <f t="shared" si="8"/>
        <v>0.44658207169371833</v>
      </c>
      <c r="N60" s="53">
        <f t="shared" si="0"/>
        <v>-5.5052154840535784E-3</v>
      </c>
      <c r="W60" s="4">
        <f t="shared" si="9"/>
        <v>1</v>
      </c>
    </row>
    <row r="61" spans="1:23">
      <c r="A61" s="20">
        <f t="shared" si="1"/>
        <v>487.0413763999743</v>
      </c>
      <c r="B61" s="21">
        <f t="shared" si="10"/>
        <v>318.75</v>
      </c>
      <c r="C61" s="21">
        <f t="shared" si="11"/>
        <v>318.75</v>
      </c>
      <c r="D61" s="22">
        <f t="shared" si="2"/>
        <v>318.75</v>
      </c>
      <c r="E61" s="31">
        <f t="shared" si="12"/>
        <v>209.44947522963884</v>
      </c>
      <c r="F61" s="23">
        <f t="shared" si="3"/>
        <v>0.6159640936823203</v>
      </c>
      <c r="G61" s="24">
        <f t="shared" si="4"/>
        <v>196.00460110957442</v>
      </c>
      <c r="H61" s="32">
        <f t="shared" si="13"/>
        <v>114.44546061416881</v>
      </c>
      <c r="I61" s="25">
        <f t="shared" si="5"/>
        <v>1.0626438002500127</v>
      </c>
      <c r="J61" s="26">
        <f t="shared" si="14"/>
        <v>0.45</v>
      </c>
      <c r="K61" s="27">
        <f t="shared" si="6"/>
        <v>194.78546204056687</v>
      </c>
      <c r="L61" s="28">
        <f t="shared" si="7"/>
        <v>1.0659640936823203</v>
      </c>
      <c r="M61" s="29">
        <f t="shared" si="8"/>
        <v>0.4466797065676924</v>
      </c>
      <c r="N61" s="53">
        <f t="shared" si="0"/>
        <v>-5.3904009444096417E-3</v>
      </c>
      <c r="W61" s="4">
        <f t="shared" si="9"/>
        <v>1</v>
      </c>
    </row>
    <row r="62" spans="1:23">
      <c r="A62" s="20">
        <f t="shared" si="1"/>
        <v>490.84644498879641</v>
      </c>
      <c r="B62" s="21">
        <f t="shared" si="10"/>
        <v>323.75</v>
      </c>
      <c r="C62" s="21">
        <f t="shared" si="11"/>
        <v>323.75</v>
      </c>
      <c r="D62" s="22">
        <f t="shared" si="2"/>
        <v>323.75</v>
      </c>
      <c r="E62" s="31">
        <f t="shared" si="12"/>
        <v>209.44947522963884</v>
      </c>
      <c r="F62" s="23">
        <f t="shared" si="3"/>
        <v>0.61118910621191824</v>
      </c>
      <c r="G62" s="24">
        <f t="shared" si="4"/>
        <v>197.73861426724807</v>
      </c>
      <c r="H62" s="32">
        <f t="shared" si="13"/>
        <v>114.44546061416881</v>
      </c>
      <c r="I62" s="25">
        <f t="shared" si="5"/>
        <v>1.0579742627070132</v>
      </c>
      <c r="J62" s="26">
        <f t="shared" si="14"/>
        <v>0.45</v>
      </c>
      <c r="K62" s="27">
        <f t="shared" si="6"/>
        <v>196.54234155755117</v>
      </c>
      <c r="L62" s="28">
        <f t="shared" si="7"/>
        <v>1.0611891062119183</v>
      </c>
      <c r="M62" s="29">
        <f t="shared" si="8"/>
        <v>0.44678515649509498</v>
      </c>
      <c r="N62" s="53">
        <f t="shared" si="0"/>
        <v>-5.2599816852598536E-3</v>
      </c>
      <c r="W62" s="4">
        <f t="shared" si="9"/>
        <v>1</v>
      </c>
    </row>
    <row r="63" spans="1:23">
      <c r="A63" s="20">
        <f t="shared" si="1"/>
        <v>494.62224251513157</v>
      </c>
      <c r="B63" s="21">
        <f t="shared" si="10"/>
        <v>328.75</v>
      </c>
      <c r="C63" s="21">
        <f t="shared" si="11"/>
        <v>328.75</v>
      </c>
      <c r="D63" s="22">
        <f t="shared" si="2"/>
        <v>328.75</v>
      </c>
      <c r="E63" s="31">
        <f t="shared" si="12"/>
        <v>209.44947522963884</v>
      </c>
      <c r="F63" s="23">
        <f t="shared" si="3"/>
        <v>0.60652347228566528</v>
      </c>
      <c r="G63" s="24">
        <f t="shared" si="4"/>
        <v>199.45149903287762</v>
      </c>
      <c r="H63" s="32">
        <f t="shared" si="13"/>
        <v>114.44546061416881</v>
      </c>
      <c r="I63" s="25">
        <f t="shared" si="5"/>
        <v>1.0534215379597909</v>
      </c>
      <c r="J63" s="26">
        <f t="shared" si="14"/>
        <v>0.45</v>
      </c>
      <c r="K63" s="27">
        <f t="shared" si="6"/>
        <v>198.28204611942544</v>
      </c>
      <c r="L63" s="28">
        <f t="shared" si="7"/>
        <v>1.0565234722856653</v>
      </c>
      <c r="M63" s="29">
        <f t="shared" si="8"/>
        <v>0.4468980656741256</v>
      </c>
      <c r="N63" s="53">
        <f t="shared" si="0"/>
        <v>-5.1142857079955473E-3</v>
      </c>
      <c r="W63" s="4">
        <f t="shared" si="9"/>
        <v>1</v>
      </c>
    </row>
    <row r="64" spans="1:23">
      <c r="A64" s="20">
        <f t="shared" si="1"/>
        <v>498.36943427868431</v>
      </c>
      <c r="B64" s="21">
        <f t="shared" si="10"/>
        <v>333.75</v>
      </c>
      <c r="C64" s="21">
        <f t="shared" si="11"/>
        <v>333.75</v>
      </c>
      <c r="D64" s="22">
        <f t="shared" si="2"/>
        <v>333.75</v>
      </c>
      <c r="E64" s="31">
        <f t="shared" si="12"/>
        <v>209.44947522963884</v>
      </c>
      <c r="F64" s="23">
        <f t="shared" si="3"/>
        <v>0.60196308072987137</v>
      </c>
      <c r="G64" s="24">
        <f t="shared" si="4"/>
        <v>201.14363923204945</v>
      </c>
      <c r="H64" s="32">
        <f t="shared" si="13"/>
        <v>114.44546061416881</v>
      </c>
      <c r="I64" s="25">
        <f t="shared" si="5"/>
        <v>1.0489811745178765</v>
      </c>
      <c r="J64" s="26">
        <f t="shared" si="14"/>
        <v>0.45</v>
      </c>
      <c r="K64" s="27">
        <f t="shared" si="6"/>
        <v>200.00492744543018</v>
      </c>
      <c r="L64" s="28">
        <f t="shared" si="7"/>
        <v>1.0519630807298714</v>
      </c>
      <c r="M64" s="29">
        <f t="shared" si="8"/>
        <v>0.44701809378800517</v>
      </c>
      <c r="N64" s="53">
        <f t="shared" si="0"/>
        <v>-4.9536363731465518E-3</v>
      </c>
      <c r="W64" s="4">
        <f t="shared" si="9"/>
        <v>1</v>
      </c>
    </row>
    <row r="65" spans="1:23">
      <c r="A65" s="20">
        <f t="shared" si="1"/>
        <v>502.08866075207669</v>
      </c>
      <c r="B65" s="21">
        <f t="shared" si="10"/>
        <v>338.75</v>
      </c>
      <c r="C65" s="21">
        <f t="shared" si="11"/>
        <v>338.75</v>
      </c>
      <c r="D65" s="22">
        <f t="shared" si="2"/>
        <v>338.75</v>
      </c>
      <c r="E65" s="31">
        <f t="shared" si="12"/>
        <v>209.44947522963884</v>
      </c>
      <c r="F65" s="23">
        <f t="shared" si="3"/>
        <v>0.59750403355182558</v>
      </c>
      <c r="G65" s="24">
        <f t="shared" si="4"/>
        <v>202.81540944936575</v>
      </c>
      <c r="H65" s="32">
        <f t="shared" si="13"/>
        <v>114.44546061416881</v>
      </c>
      <c r="I65" s="25">
        <f t="shared" si="5"/>
        <v>1.0446489489070225</v>
      </c>
      <c r="J65" s="26">
        <f t="shared" si="14"/>
        <v>0.45</v>
      </c>
      <c r="K65" s="27">
        <f t="shared" si="6"/>
        <v>201.71132582918318</v>
      </c>
      <c r="L65" s="28">
        <f t="shared" si="7"/>
        <v>1.0475040335518255</v>
      </c>
      <c r="M65" s="29">
        <f t="shared" si="8"/>
        <v>0.44714491535519696</v>
      </c>
      <c r="N65" s="53">
        <f t="shared" si="0"/>
        <v>-4.7783520854766098E-3</v>
      </c>
      <c r="W65" s="4">
        <f t="shared" si="9"/>
        <v>1</v>
      </c>
    </row>
    <row r="66" spans="1:23">
      <c r="A66" s="20">
        <f t="shared" si="1"/>
        <v>505.78053885887317</v>
      </c>
      <c r="B66" s="21">
        <f t="shared" si="10"/>
        <v>343.75</v>
      </c>
      <c r="C66" s="21">
        <f t="shared" si="11"/>
        <v>343.75</v>
      </c>
      <c r="D66" s="22">
        <f t="shared" si="2"/>
        <v>343.75</v>
      </c>
      <c r="E66" s="31">
        <f t="shared" si="12"/>
        <v>209.44947522963884</v>
      </c>
      <c r="F66" s="23">
        <f t="shared" si="3"/>
        <v>0.59314263193449668</v>
      </c>
      <c r="G66" s="24">
        <f t="shared" si="4"/>
        <v>204.46717530488837</v>
      </c>
      <c r="H66" s="32">
        <f t="shared" si="13"/>
        <v>114.44546061416881</v>
      </c>
      <c r="I66" s="25">
        <f t="shared" si="5"/>
        <v>1.0404208510302382</v>
      </c>
      <c r="J66" s="26">
        <f t="shared" si="14"/>
        <v>0.45</v>
      </c>
      <c r="K66" s="27">
        <f t="shared" si="6"/>
        <v>203.40157065315108</v>
      </c>
      <c r="L66" s="28">
        <f t="shared" si="7"/>
        <v>1.0431426319344967</v>
      </c>
      <c r="M66" s="29">
        <f t="shared" si="8"/>
        <v>0.4472782190957415</v>
      </c>
      <c r="N66" s="53">
        <f t="shared" si="0"/>
        <v>-4.5887460413721985E-3</v>
      </c>
      <c r="W66" s="4">
        <f t="shared" si="9"/>
        <v>1</v>
      </c>
    </row>
    <row r="67" spans="1:23">
      <c r="A67" s="20">
        <f t="shared" si="1"/>
        <v>509.44566316824233</v>
      </c>
      <c r="B67" s="21">
        <f t="shared" si="10"/>
        <v>348.75</v>
      </c>
      <c r="C67" s="21">
        <f t="shared" si="11"/>
        <v>348.75</v>
      </c>
      <c r="D67" s="22">
        <f t="shared" si="2"/>
        <v>348.75</v>
      </c>
      <c r="E67" s="31">
        <f t="shared" si="12"/>
        <v>209.44947522963884</v>
      </c>
      <c r="F67" s="23">
        <f t="shared" si="3"/>
        <v>0.58887536333963497</v>
      </c>
      <c r="G67" s="24">
        <f t="shared" si="4"/>
        <v>206.09929372071733</v>
      </c>
      <c r="H67" s="32">
        <f t="shared" si="13"/>
        <v>114.44546061416881</v>
      </c>
      <c r="I67" s="25">
        <f t="shared" si="5"/>
        <v>1.0362930706553748</v>
      </c>
      <c r="J67" s="26">
        <f t="shared" si="14"/>
        <v>0.45</v>
      </c>
      <c r="K67" s="27">
        <f t="shared" si="6"/>
        <v>205.07598087342268</v>
      </c>
      <c r="L67" s="28">
        <f t="shared" si="7"/>
        <v>1.038875363339635</v>
      </c>
      <c r="M67" s="29">
        <f t="shared" si="8"/>
        <v>0.44741770731573982</v>
      </c>
      <c r="N67" s="53">
        <f t="shared" si="0"/>
        <v>-4.3851260300914437E-3</v>
      </c>
      <c r="W67" s="4">
        <f t="shared" si="9"/>
        <v>1</v>
      </c>
    </row>
    <row r="68" spans="1:23">
      <c r="A68" s="20">
        <f t="shared" si="1"/>
        <v>513.08460701280865</v>
      </c>
      <c r="B68" s="21">
        <f t="shared" si="10"/>
        <v>353.75</v>
      </c>
      <c r="C68" s="21">
        <f t="shared" si="11"/>
        <v>353.75</v>
      </c>
      <c r="D68" s="22">
        <f t="shared" si="2"/>
        <v>353.75</v>
      </c>
      <c r="E68" s="31">
        <f t="shared" si="12"/>
        <v>209.44947522963884</v>
      </c>
      <c r="F68" s="23">
        <f t="shared" si="3"/>
        <v>0.58469888961707006</v>
      </c>
      <c r="G68" s="24">
        <f t="shared" si="4"/>
        <v>207.71211317811316</v>
      </c>
      <c r="H68" s="32">
        <f t="shared" si="13"/>
        <v>114.44546061416881</v>
      </c>
      <c r="I68" s="25">
        <f t="shared" si="5"/>
        <v>1.0322619849285006</v>
      </c>
      <c r="J68" s="26">
        <f t="shared" si="14"/>
        <v>0.45</v>
      </c>
      <c r="K68" s="27">
        <f t="shared" si="6"/>
        <v>206.73486547687276</v>
      </c>
      <c r="L68" s="28">
        <f t="shared" si="7"/>
        <v>1.0346988896170701</v>
      </c>
      <c r="M68" s="29">
        <f t="shared" si="8"/>
        <v>0.44756309531143057</v>
      </c>
      <c r="N68" s="53">
        <f t="shared" si="0"/>
        <v>-4.1677942815410759E-3</v>
      </c>
      <c r="W68" s="4">
        <f t="shared" si="9"/>
        <v>1</v>
      </c>
    </row>
    <row r="69" spans="1:23">
      <c r="A69" s="20">
        <f t="shared" si="1"/>
        <v>516.69792353564424</v>
      </c>
      <c r="B69" s="21">
        <f t="shared" si="10"/>
        <v>358.75</v>
      </c>
      <c r="C69" s="21">
        <f t="shared" si="11"/>
        <v>358.75</v>
      </c>
      <c r="D69" s="22">
        <f t="shared" si="2"/>
        <v>358.75</v>
      </c>
      <c r="E69" s="31">
        <f t="shared" si="12"/>
        <v>209.44947522963884</v>
      </c>
      <c r="F69" s="23">
        <f t="shared" si="3"/>
        <v>0.58061003602872929</v>
      </c>
      <c r="G69" s="24">
        <f t="shared" si="4"/>
        <v>209.30597396555191</v>
      </c>
      <c r="H69" s="32">
        <f t="shared" si="13"/>
        <v>114.44546061416881</v>
      </c>
      <c r="I69" s="25">
        <f t="shared" si="5"/>
        <v>1.0283241468225499</v>
      </c>
      <c r="J69" s="26">
        <f t="shared" si="14"/>
        <v>0.45</v>
      </c>
      <c r="K69" s="27">
        <f t="shared" si="6"/>
        <v>208.37852391263556</v>
      </c>
      <c r="L69" s="28">
        <f t="shared" si="7"/>
        <v>1.0306100360287294</v>
      </c>
      <c r="M69" s="29">
        <f t="shared" si="8"/>
        <v>0.44771411079382062</v>
      </c>
      <c r="N69" s="53">
        <f t="shared" si="0"/>
        <v>-3.937047354218114E-3</v>
      </c>
      <c r="W69" s="4">
        <f t="shared" si="9"/>
        <v>1</v>
      </c>
    </row>
    <row r="70" spans="1:23">
      <c r="A70" s="20">
        <f t="shared" si="1"/>
        <v>520.28614667181432</v>
      </c>
      <c r="B70" s="21">
        <f t="shared" si="10"/>
        <v>363.75</v>
      </c>
      <c r="C70" s="21">
        <f t="shared" si="11"/>
        <v>363.75</v>
      </c>
      <c r="D70" s="22">
        <f t="shared" si="2"/>
        <v>363.75</v>
      </c>
      <c r="E70" s="31">
        <f t="shared" si="12"/>
        <v>209.44947522963884</v>
      </c>
      <c r="F70" s="23">
        <f t="shared" si="3"/>
        <v>0.5766057811053612</v>
      </c>
      <c r="G70" s="24">
        <f t="shared" si="4"/>
        <v>210.88120841808325</v>
      </c>
      <c r="H70" s="32">
        <f t="shared" si="13"/>
        <v>114.44546061416881</v>
      </c>
      <c r="I70" s="25">
        <f t="shared" si="5"/>
        <v>1.0244762744398097</v>
      </c>
      <c r="J70" s="26">
        <f t="shared" si="14"/>
        <v>0.45</v>
      </c>
      <c r="K70" s="27">
        <f t="shared" si="6"/>
        <v>210.00724649964738</v>
      </c>
      <c r="L70" s="28">
        <f t="shared" si="7"/>
        <v>1.0266057811053613</v>
      </c>
      <c r="M70" s="29">
        <f t="shared" si="8"/>
        <v>0.44787049333444851</v>
      </c>
      <c r="N70" s="53">
        <f t="shared" si="0"/>
        <v>-3.6931760577724568E-3</v>
      </c>
      <c r="W70" s="4">
        <f t="shared" si="9"/>
        <v>1</v>
      </c>
    </row>
    <row r="71" spans="1:23">
      <c r="A71" s="20">
        <f t="shared" si="1"/>
        <v>523.84979206940886</v>
      </c>
      <c r="B71" s="21">
        <f t="shared" si="10"/>
        <v>368.75</v>
      </c>
      <c r="C71" s="21">
        <f t="shared" si="11"/>
        <v>368.75</v>
      </c>
      <c r="D71" s="22">
        <f t="shared" si="2"/>
        <v>368.75</v>
      </c>
      <c r="E71" s="31">
        <f t="shared" si="12"/>
        <v>209.44947522963884</v>
      </c>
      <c r="F71" s="23">
        <f t="shared" si="3"/>
        <v>0.57268324726231967</v>
      </c>
      <c r="G71" s="24">
        <f t="shared" si="4"/>
        <v>212.43814114834603</v>
      </c>
      <c r="H71" s="32">
        <f t="shared" si="13"/>
        <v>114.44546061416881</v>
      </c>
      <c r="I71" s="25">
        <f t="shared" si="5"/>
        <v>1.0207152410948546</v>
      </c>
      <c r="J71" s="26">
        <f t="shared" si="14"/>
        <v>0.45</v>
      </c>
      <c r="K71" s="27">
        <f t="shared" si="6"/>
        <v>211.62131481187532</v>
      </c>
      <c r="L71" s="28">
        <f t="shared" si="7"/>
        <v>1.0226832472623197</v>
      </c>
      <c r="M71" s="29">
        <f t="shared" si="8"/>
        <v>0.44803199383253489</v>
      </c>
      <c r="N71" s="53">
        <f t="shared" si="0"/>
        <v>-3.4364654053930565E-3</v>
      </c>
      <c r="W71" s="4">
        <f t="shared" si="9"/>
        <v>1</v>
      </c>
    </row>
    <row r="72" spans="1:23">
      <c r="A72" s="20">
        <f t="shared" si="1"/>
        <v>527.38935795455802</v>
      </c>
      <c r="B72" s="21">
        <f t="shared" si="10"/>
        <v>373.75</v>
      </c>
      <c r="C72" s="21">
        <f t="shared" si="11"/>
        <v>373.75</v>
      </c>
      <c r="D72" s="22">
        <f t="shared" si="2"/>
        <v>373.75</v>
      </c>
      <c r="E72" s="31">
        <f t="shared" si="12"/>
        <v>209.44947522963884</v>
      </c>
      <c r="F72" s="23">
        <f t="shared" si="3"/>
        <v>0.56883969210817709</v>
      </c>
      <c r="G72" s="24">
        <f t="shared" si="4"/>
        <v>213.97708926957833</v>
      </c>
      <c r="H72" s="32">
        <f t="shared" si="13"/>
        <v>114.44546061416881</v>
      </c>
      <c r="I72" s="25">
        <f t="shared" si="5"/>
        <v>1.0170380661117333</v>
      </c>
      <c r="J72" s="26">
        <f t="shared" si="14"/>
        <v>0.45</v>
      </c>
      <c r="K72" s="27">
        <f t="shared" si="6"/>
        <v>213.22100204272348</v>
      </c>
      <c r="L72" s="28">
        <f t="shared" si="7"/>
        <v>1.018839692108177</v>
      </c>
      <c r="M72" s="29">
        <f t="shared" si="8"/>
        <v>0.44819837400355622</v>
      </c>
      <c r="N72" s="53">
        <f t="shared" si="0"/>
        <v>-3.1671945917957707E-3</v>
      </c>
      <c r="W72" s="4">
        <f t="shared" si="9"/>
        <v>1</v>
      </c>
    </row>
    <row r="73" spans="1:23">
      <c r="A73" s="20">
        <f t="shared" ref="A73:A114" si="15">IF(W73=1,((300000000/(F73*1000000))*W73),"")</f>
        <v>530.90532594454078</v>
      </c>
      <c r="B73" s="21">
        <f t="shared" si="10"/>
        <v>378.75</v>
      </c>
      <c r="C73" s="21">
        <f t="shared" si="11"/>
        <v>378.75</v>
      </c>
      <c r="D73" s="22">
        <f t="shared" ref="D73:D114" si="16">IF(W73=1,((IF($E$2=0,(B73+$E$3),($E$2*(B73+$E$3))/($E$2+$E$3+B73)))*W73),"")</f>
        <v>378.75</v>
      </c>
      <c r="E73" s="31">
        <f t="shared" si="12"/>
        <v>209.44947522963884</v>
      </c>
      <c r="F73" s="23">
        <f t="shared" ref="F73:F114" si="17">IF(W73=1,(((1/(((2*PI())*SQRT(D73/1000000000000*E73/1000000))))/1000000)*W73),"")</f>
        <v>0.56507250038651613</v>
      </c>
      <c r="G73" s="24">
        <f t="shared" ref="G73:G114" si="18">IF(W73=1,((IF($H$2=0,(C73+$H$3+$H$4),((($H$2*(C73+$H$3))/($H$2+$H$3+C73)))+$H$4))*W73),"")</f>
        <v>215.4983626109431</v>
      </c>
      <c r="H73" s="32">
        <f t="shared" si="13"/>
        <v>114.44546061416881</v>
      </c>
      <c r="I73" s="25">
        <f t="shared" ref="I73:I114" si="19">IF(W73=1,(((1/(((2*PI())*SQRT(G73/1000000000000*H73/1000000))))/1000000)*W73),"")</f>
        <v>1.013441906275576</v>
      </c>
      <c r="J73" s="26">
        <f t="shared" si="14"/>
        <v>0.45</v>
      </c>
      <c r="K73" s="27">
        <f t="shared" ref="K73:K114" si="20">IF(W73=1,(((1/(4*PI()*PI()*L73*1000000*L73*1000000*(H73/1000000)))*1000000000000)*W73),"")</f>
        <v>214.80657334998725</v>
      </c>
      <c r="L73" s="28">
        <f t="shared" ref="L73:L114" si="21">IF(W73,(F73+J73)*W73,"")</f>
        <v>1.0150725003865162</v>
      </c>
      <c r="M73" s="29">
        <f t="shared" ref="M73:M114" si="22">IF(W73=1,(I73-F73)*W73,"")</f>
        <v>0.44836940588905982</v>
      </c>
      <c r="N73" s="53">
        <f t="shared" ref="N73:N114" si="23">IF(W73=1,((I73-F73-J73)/F73),"")</f>
        <v>-2.8856369931731618E-3</v>
      </c>
      <c r="W73" s="4">
        <f t="shared" ref="W73:W114" si="24">IF($S$4&gt;=B73,1,0)</f>
        <v>1</v>
      </c>
    </row>
    <row r="74" spans="1:23">
      <c r="A74" s="20">
        <f t="shared" si="15"/>
        <v>534.39816181274171</v>
      </c>
      <c r="B74" s="21">
        <f t="shared" ref="B74:B114" si="25">IF(W73=1,B73+5,"")</f>
        <v>383.75</v>
      </c>
      <c r="C74" s="21">
        <f t="shared" ref="C74:C114" si="26">B74</f>
        <v>383.75</v>
      </c>
      <c r="D74" s="22">
        <f t="shared" si="16"/>
        <v>383.75</v>
      </c>
      <c r="E74" s="31">
        <f t="shared" ref="E74:E114" si="27">IF(W73=1,E73*W74,"")</f>
        <v>209.44947522963884</v>
      </c>
      <c r="F74" s="23">
        <f t="shared" si="17"/>
        <v>0.56137917649709834</v>
      </c>
      <c r="G74" s="24">
        <f t="shared" si="18"/>
        <v>217.00226392547808</v>
      </c>
      <c r="H74" s="32">
        <f t="shared" ref="H74:H114" si="28">IF(W73=1,H73*W74,"")</f>
        <v>114.44546061416881</v>
      </c>
      <c r="I74" s="25">
        <f t="shared" si="19"/>
        <v>1.0099240478844922</v>
      </c>
      <c r="J74" s="26">
        <f t="shared" ref="J74:J114" si="29">IF(W73=1,J73*W74,"")</f>
        <v>0.45</v>
      </c>
      <c r="K74" s="27">
        <f t="shared" si="20"/>
        <v>216.37828618262262</v>
      </c>
      <c r="L74" s="28">
        <f t="shared" si="21"/>
        <v>1.0113791764970983</v>
      </c>
      <c r="M74" s="29">
        <f t="shared" si="22"/>
        <v>0.44854487138739385</v>
      </c>
      <c r="N74" s="53">
        <f t="shared" si="23"/>
        <v>-2.59206018592619E-3</v>
      </c>
      <c r="W74" s="4">
        <f t="shared" si="24"/>
        <v>1</v>
      </c>
    </row>
    <row r="75" spans="1:23">
      <c r="A75" s="20">
        <f t="shared" si="15"/>
        <v>537.86831620889825</v>
      </c>
      <c r="B75" s="21">
        <f t="shared" si="25"/>
        <v>388.75</v>
      </c>
      <c r="C75" s="21">
        <f t="shared" si="26"/>
        <v>388.75</v>
      </c>
      <c r="D75" s="22">
        <f t="shared" si="16"/>
        <v>388.75</v>
      </c>
      <c r="E75" s="31">
        <f t="shared" si="27"/>
        <v>209.44947522963884</v>
      </c>
      <c r="F75" s="23">
        <f t="shared" si="17"/>
        <v>0.55775733754781254</v>
      </c>
      <c r="G75" s="24">
        <f t="shared" si="18"/>
        <v>218.4890890909611</v>
      </c>
      <c r="H75" s="32">
        <f t="shared" si="28"/>
        <v>114.44546061416881</v>
      </c>
      <c r="I75" s="25">
        <f t="shared" si="19"/>
        <v>1.0064818993527365</v>
      </c>
      <c r="J75" s="26">
        <f t="shared" si="29"/>
        <v>0.45</v>
      </c>
      <c r="K75" s="27">
        <f t="shared" si="20"/>
        <v>217.93639059049775</v>
      </c>
      <c r="L75" s="28">
        <f t="shared" si="21"/>
        <v>1.0077573375478126</v>
      </c>
      <c r="M75" s="29">
        <f t="shared" si="22"/>
        <v>0.44872456180492393</v>
      </c>
      <c r="N75" s="53">
        <f t="shared" si="23"/>
        <v>-2.2867259813802985E-3</v>
      </c>
      <c r="W75" s="4">
        <f t="shared" si="24"/>
        <v>1</v>
      </c>
    </row>
    <row r="76" spans="1:23">
      <c r="A76" s="20">
        <f t="shared" si="15"/>
        <v>541.31622533779046</v>
      </c>
      <c r="B76" s="21">
        <f t="shared" si="25"/>
        <v>393.75</v>
      </c>
      <c r="C76" s="21">
        <f t="shared" si="26"/>
        <v>393.75</v>
      </c>
      <c r="D76" s="22">
        <f t="shared" si="16"/>
        <v>393.75</v>
      </c>
      <c r="E76" s="31">
        <f t="shared" si="27"/>
        <v>209.44947522963884</v>
      </c>
      <c r="F76" s="23">
        <f t="shared" si="17"/>
        <v>0.55420470689345214</v>
      </c>
      <c r="G76" s="24">
        <f t="shared" si="18"/>
        <v>219.95912730397279</v>
      </c>
      <c r="H76" s="32">
        <f t="shared" si="28"/>
        <v>114.44546061416881</v>
      </c>
      <c r="I76" s="25">
        <f t="shared" si="19"/>
        <v>1.0031129843206519</v>
      </c>
      <c r="J76" s="26">
        <f t="shared" si="29"/>
        <v>0.45</v>
      </c>
      <c r="K76" s="27">
        <f t="shared" si="20"/>
        <v>219.48112951820866</v>
      </c>
      <c r="L76" s="28">
        <f t="shared" si="21"/>
        <v>1.0042047068934521</v>
      </c>
      <c r="M76" s="29">
        <f t="shared" si="22"/>
        <v>0.44890827742719974</v>
      </c>
      <c r="N76" s="53">
        <f t="shared" si="23"/>
        <v>-1.9698904740810086E-3</v>
      </c>
      <c r="W76" s="4">
        <f t="shared" si="24"/>
        <v>1</v>
      </c>
    </row>
    <row r="77" spans="1:23">
      <c r="A77" s="20">
        <f t="shared" si="15"/>
        <v>544.74231159926592</v>
      </c>
      <c r="B77" s="21">
        <f t="shared" si="25"/>
        <v>398.75</v>
      </c>
      <c r="C77" s="21">
        <f t="shared" si="26"/>
        <v>398.75</v>
      </c>
      <c r="D77" s="22">
        <f t="shared" si="16"/>
        <v>398.75</v>
      </c>
      <c r="E77" s="31">
        <f t="shared" si="27"/>
        <v>209.44947522963884</v>
      </c>
      <c r="F77" s="23">
        <f t="shared" si="17"/>
        <v>0.55071910812151481</v>
      </c>
      <c r="G77" s="24">
        <f t="shared" si="18"/>
        <v>221.41266126742241</v>
      </c>
      <c r="H77" s="32">
        <f t="shared" si="28"/>
        <v>114.44546061416881</v>
      </c>
      <c r="I77" s="25">
        <f t="shared" si="19"/>
        <v>0.99981493523100062</v>
      </c>
      <c r="J77" s="26">
        <f t="shared" si="29"/>
        <v>0.45</v>
      </c>
      <c r="K77" s="27">
        <f t="shared" si="20"/>
        <v>221.01273908395666</v>
      </c>
      <c r="L77" s="28">
        <f t="shared" si="21"/>
        <v>1.0007191081215148</v>
      </c>
      <c r="M77" s="29">
        <f t="shared" si="22"/>
        <v>0.44909582710948581</v>
      </c>
      <c r="N77" s="53">
        <f t="shared" si="23"/>
        <v>-1.6418041015469819E-3</v>
      </c>
      <c r="W77" s="4">
        <f t="shared" si="24"/>
        <v>1</v>
      </c>
    </row>
    <row r="78" spans="1:23">
      <c r="A78" s="20">
        <f t="shared" si="15"/>
        <v>548.14698419225999</v>
      </c>
      <c r="B78" s="21">
        <f t="shared" si="25"/>
        <v>403.75</v>
      </c>
      <c r="C78" s="21">
        <f t="shared" si="26"/>
        <v>403.75</v>
      </c>
      <c r="D78" s="22">
        <f t="shared" si="16"/>
        <v>403.75</v>
      </c>
      <c r="E78" s="31">
        <f t="shared" si="27"/>
        <v>209.44947522963884</v>
      </c>
      <c r="F78" s="23">
        <f t="shared" si="17"/>
        <v>0.54729845944892841</v>
      </c>
      <c r="G78" s="24">
        <f t="shared" si="18"/>
        <v>222.84996737179284</v>
      </c>
      <c r="H78" s="32">
        <f t="shared" si="28"/>
        <v>114.44546061416881</v>
      </c>
      <c r="I78" s="25">
        <f t="shared" si="19"/>
        <v>0.99658548733494723</v>
      </c>
      <c r="J78" s="26">
        <f t="shared" si="29"/>
        <v>0.45</v>
      </c>
      <c r="K78" s="27">
        <f t="shared" si="20"/>
        <v>222.53144884441554</v>
      </c>
      <c r="L78" s="28">
        <f t="shared" si="21"/>
        <v>0.99729845944892848</v>
      </c>
      <c r="M78" s="29">
        <f t="shared" si="22"/>
        <v>0.44928702788601882</v>
      </c>
      <c r="N78" s="53">
        <f t="shared" si="23"/>
        <v>-1.3027117136399017E-3</v>
      </c>
      <c r="W78" s="4">
        <f t="shared" si="24"/>
        <v>1</v>
      </c>
    </row>
    <row r="79" spans="1:23">
      <c r="A79" s="20">
        <f t="shared" si="15"/>
        <v>551.53063968525623</v>
      </c>
      <c r="B79" s="21">
        <f t="shared" si="25"/>
        <v>408.75</v>
      </c>
      <c r="C79" s="21">
        <f t="shared" si="26"/>
        <v>408.75</v>
      </c>
      <c r="D79" s="22">
        <f t="shared" si="16"/>
        <v>408.75</v>
      </c>
      <c r="E79" s="31">
        <f t="shared" si="27"/>
        <v>209.44947522963884</v>
      </c>
      <c r="F79" s="23">
        <f t="shared" si="17"/>
        <v>0.54394076849692696</v>
      </c>
      <c r="G79" s="24">
        <f t="shared" si="18"/>
        <v>224.27131587034916</v>
      </c>
      <c r="H79" s="32">
        <f t="shared" si="28"/>
        <v>114.44546061416881</v>
      </c>
      <c r="I79" s="25">
        <f t="shared" si="19"/>
        <v>0.9934224730942528</v>
      </c>
      <c r="J79" s="26">
        <f t="shared" si="29"/>
        <v>0.45</v>
      </c>
      <c r="K79" s="27">
        <f t="shared" si="20"/>
        <v>224.03748204644367</v>
      </c>
      <c r="L79" s="28">
        <f t="shared" si="21"/>
        <v>0.99394076849692703</v>
      </c>
      <c r="M79" s="29">
        <f t="shared" si="22"/>
        <v>0.44948170459732584</v>
      </c>
      <c r="N79" s="53">
        <f t="shared" si="23"/>
        <v>-9.5285264994271501E-4</v>
      </c>
      <c r="W79" s="4">
        <f t="shared" si="24"/>
        <v>1</v>
      </c>
    </row>
    <row r="80" spans="1:23">
      <c r="A80" s="20">
        <f t="shared" si="15"/>
        <v>554.89366255543598</v>
      </c>
      <c r="B80" s="21">
        <f t="shared" si="25"/>
        <v>413.75</v>
      </c>
      <c r="C80" s="21">
        <f t="shared" si="26"/>
        <v>413.75</v>
      </c>
      <c r="D80" s="22">
        <f t="shared" si="16"/>
        <v>413.75</v>
      </c>
      <c r="E80" s="31">
        <f t="shared" si="27"/>
        <v>209.44947522963884</v>
      </c>
      <c r="F80" s="23">
        <f t="shared" si="17"/>
        <v>0.54064412741428425</v>
      </c>
      <c r="G80" s="24">
        <f t="shared" si="18"/>
        <v>225.67697104854338</v>
      </c>
      <c r="H80" s="32">
        <f t="shared" si="28"/>
        <v>114.44546061416881</v>
      </c>
      <c r="I80" s="25">
        <f t="shared" si="19"/>
        <v>0.99032381694920069</v>
      </c>
      <c r="J80" s="26">
        <f t="shared" si="29"/>
        <v>0.45</v>
      </c>
      <c r="K80" s="27">
        <f t="shared" si="20"/>
        <v>225.53105586643937</v>
      </c>
      <c r="L80" s="28">
        <f t="shared" si="21"/>
        <v>0.99064412741428431</v>
      </c>
      <c r="M80" s="29">
        <f t="shared" si="22"/>
        <v>0.44967968953491644</v>
      </c>
      <c r="N80" s="53">
        <f t="shared" si="23"/>
        <v>-5.9246082375019658E-4</v>
      </c>
      <c r="W80" s="4">
        <f t="shared" si="24"/>
        <v>1</v>
      </c>
    </row>
    <row r="81" spans="1:23">
      <c r="A81" s="20">
        <f t="shared" si="15"/>
        <v>558.23642569859612</v>
      </c>
      <c r="B81" s="21">
        <f t="shared" si="25"/>
        <v>418.75</v>
      </c>
      <c r="C81" s="21">
        <f t="shared" si="26"/>
        <v>418.75</v>
      </c>
      <c r="D81" s="22">
        <f t="shared" si="16"/>
        <v>418.75</v>
      </c>
      <c r="E81" s="31">
        <f t="shared" si="27"/>
        <v>209.44947522963884</v>
      </c>
      <c r="F81" s="23">
        <f t="shared" si="17"/>
        <v>0.53740670832178272</v>
      </c>
      <c r="G81" s="24">
        <f t="shared" si="18"/>
        <v>227.06719138783876</v>
      </c>
      <c r="H81" s="32">
        <f t="shared" si="28"/>
        <v>114.44546061416881</v>
      </c>
      <c r="I81" s="25">
        <f t="shared" si="19"/>
        <v>0.98728753042444584</v>
      </c>
      <c r="J81" s="26">
        <f t="shared" si="29"/>
        <v>0.45</v>
      </c>
      <c r="K81" s="27">
        <f t="shared" si="20"/>
        <v>227.01238163807815</v>
      </c>
      <c r="L81" s="28">
        <f t="shared" si="21"/>
        <v>0.98740670832178279</v>
      </c>
      <c r="M81" s="29">
        <f t="shared" si="22"/>
        <v>0.44988082210266311</v>
      </c>
      <c r="N81" s="53">
        <f t="shared" si="23"/>
        <v>-2.21764811438746E-4</v>
      </c>
      <c r="W81" s="4">
        <f t="shared" si="24"/>
        <v>1</v>
      </c>
    </row>
    <row r="82" spans="1:23">
      <c r="A82" s="20">
        <f t="shared" si="15"/>
        <v>561.55929091174551</v>
      </c>
      <c r="B82" s="21">
        <f t="shared" si="25"/>
        <v>423.75</v>
      </c>
      <c r="C82" s="21">
        <f t="shared" si="26"/>
        <v>423.75</v>
      </c>
      <c r="D82" s="22">
        <f t="shared" si="16"/>
        <v>423.75</v>
      </c>
      <c r="E82" s="31">
        <f t="shared" si="27"/>
        <v>209.44947522963884</v>
      </c>
      <c r="F82" s="23">
        <f t="shared" si="17"/>
        <v>0.53422675905320904</v>
      </c>
      <c r="G82" s="24">
        <f t="shared" si="18"/>
        <v>228.44222972416722</v>
      </c>
      <c r="H82" s="32">
        <f t="shared" si="28"/>
        <v>114.44546061416881</v>
      </c>
      <c r="I82" s="25">
        <f t="shared" si="19"/>
        <v>0.98431170754737785</v>
      </c>
      <c r="J82" s="26">
        <f t="shared" si="29"/>
        <v>0.45</v>
      </c>
      <c r="K82" s="27">
        <f t="shared" si="20"/>
        <v>228.48166506911852</v>
      </c>
      <c r="L82" s="28">
        <f t="shared" si="21"/>
        <v>0.984226759053209</v>
      </c>
      <c r="M82" s="29">
        <f t="shared" si="22"/>
        <v>0.4500849484941688</v>
      </c>
      <c r="N82" s="53">
        <f t="shared" si="23"/>
        <v>1.5901205383148863E-4</v>
      </c>
      <c r="W82" s="4">
        <f t="shared" si="24"/>
        <v>1</v>
      </c>
    </row>
    <row r="83" spans="1:23">
      <c r="A83" s="20">
        <f t="shared" si="15"/>
        <v>564.86260935015025</v>
      </c>
      <c r="B83" s="21">
        <f t="shared" si="25"/>
        <v>428.75</v>
      </c>
      <c r="C83" s="21">
        <f t="shared" si="26"/>
        <v>428.75</v>
      </c>
      <c r="D83" s="22">
        <f t="shared" si="16"/>
        <v>428.75</v>
      </c>
      <c r="E83" s="31">
        <f t="shared" si="27"/>
        <v>209.44947522963884</v>
      </c>
      <c r="F83" s="23">
        <f t="shared" si="17"/>
        <v>0.53110259917033076</v>
      </c>
      <c r="G83" s="24">
        <f t="shared" si="18"/>
        <v>229.80233340122311</v>
      </c>
      <c r="H83" s="32">
        <f t="shared" si="28"/>
        <v>114.44546061416881</v>
      </c>
      <c r="I83" s="25">
        <f t="shared" si="19"/>
        <v>0.98139452055577248</v>
      </c>
      <c r="J83" s="26">
        <f t="shared" si="29"/>
        <v>0.45</v>
      </c>
      <c r="K83" s="27">
        <f t="shared" si="20"/>
        <v>229.93910644791666</v>
      </c>
      <c r="L83" s="28">
        <f t="shared" si="21"/>
        <v>0.98110259917033082</v>
      </c>
      <c r="M83" s="29">
        <f t="shared" si="22"/>
        <v>0.45029192138544172</v>
      </c>
      <c r="N83" s="53">
        <f t="shared" si="23"/>
        <v>5.496515850190451E-4</v>
      </c>
      <c r="W83" s="4">
        <f t="shared" si="24"/>
        <v>1</v>
      </c>
    </row>
    <row r="84" spans="1:23">
      <c r="A84" s="20">
        <f t="shared" si="15"/>
        <v>568.14672196046217</v>
      </c>
      <c r="B84" s="21">
        <f t="shared" si="25"/>
        <v>433.75</v>
      </c>
      <c r="C84" s="21">
        <f t="shared" si="26"/>
        <v>433.75</v>
      </c>
      <c r="D84" s="22">
        <f t="shared" si="16"/>
        <v>433.75</v>
      </c>
      <c r="E84" s="31">
        <f t="shared" si="27"/>
        <v>209.44947522963884</v>
      </c>
      <c r="F84" s="23">
        <f t="shared" si="17"/>
        <v>0.52803261623126518</v>
      </c>
      <c r="G84" s="24">
        <f t="shared" si="18"/>
        <v>231.14774441878959</v>
      </c>
      <c r="H84" s="32">
        <f t="shared" si="28"/>
        <v>114.44546061416881</v>
      </c>
      <c r="I84" s="25">
        <f t="shared" si="19"/>
        <v>0.97853421587346789</v>
      </c>
      <c r="J84" s="26">
        <f t="shared" si="29"/>
        <v>0.45</v>
      </c>
      <c r="K84" s="27">
        <f t="shared" si="20"/>
        <v>231.38490084024534</v>
      </c>
      <c r="L84" s="28">
        <f t="shared" si="21"/>
        <v>0.97803261623126514</v>
      </c>
      <c r="M84" s="29">
        <f t="shared" si="22"/>
        <v>0.45050159964220271</v>
      </c>
      <c r="N84" s="53">
        <f t="shared" si="23"/>
        <v>9.4994064151334725E-4</v>
      </c>
      <c r="W84" s="4">
        <f t="shared" si="24"/>
        <v>1</v>
      </c>
    </row>
    <row r="85" spans="1:23">
      <c r="A85" s="20">
        <f t="shared" si="15"/>
        <v>571.41195989144012</v>
      </c>
      <c r="B85" s="21">
        <f t="shared" si="25"/>
        <v>438.75</v>
      </c>
      <c r="C85" s="21">
        <f t="shared" si="26"/>
        <v>438.75</v>
      </c>
      <c r="D85" s="22">
        <f t="shared" si="16"/>
        <v>438.75</v>
      </c>
      <c r="E85" s="31">
        <f t="shared" si="27"/>
        <v>209.44947522963884</v>
      </c>
      <c r="F85" s="23">
        <f t="shared" si="17"/>
        <v>0.52501526229341711</v>
      </c>
      <c r="G85" s="24">
        <f t="shared" si="18"/>
        <v>232.47869957628365</v>
      </c>
      <c r="H85" s="32">
        <f t="shared" si="28"/>
        <v>114.44546061416881</v>
      </c>
      <c r="I85" s="25">
        <f t="shared" si="19"/>
        <v>0.9757291103345741</v>
      </c>
      <c r="J85" s="26">
        <f t="shared" si="29"/>
        <v>0.45</v>
      </c>
      <c r="K85" s="27">
        <f t="shared" si="20"/>
        <v>232.8192382769696</v>
      </c>
      <c r="L85" s="28">
        <f t="shared" si="21"/>
        <v>0.97501526229341717</v>
      </c>
      <c r="M85" s="29">
        <f t="shared" si="22"/>
        <v>0.45071384804115699</v>
      </c>
      <c r="N85" s="53">
        <f t="shared" si="23"/>
        <v>1.3596710275405916E-3</v>
      </c>
      <c r="W85" s="4">
        <f t="shared" si="24"/>
        <v>1</v>
      </c>
    </row>
    <row r="86" spans="1:23">
      <c r="A86" s="20">
        <f t="shared" si="15"/>
        <v>574.65864488366901</v>
      </c>
      <c r="B86" s="21">
        <f t="shared" si="25"/>
        <v>443.75</v>
      </c>
      <c r="C86" s="21">
        <f t="shared" si="26"/>
        <v>443.75</v>
      </c>
      <c r="D86" s="22">
        <f t="shared" si="16"/>
        <v>443.75</v>
      </c>
      <c r="E86" s="31">
        <f t="shared" si="27"/>
        <v>209.44947522963884</v>
      </c>
      <c r="F86" s="23">
        <f t="shared" si="17"/>
        <v>0.52204905063375573</v>
      </c>
      <c r="G86" s="24">
        <f t="shared" si="18"/>
        <v>233.79543061169875</v>
      </c>
      <c r="H86" s="32">
        <f t="shared" si="28"/>
        <v>114.44546061416881</v>
      </c>
      <c r="I86" s="25">
        <f t="shared" si="19"/>
        <v>0.9729775876383544</v>
      </c>
      <c r="J86" s="26">
        <f t="shared" si="29"/>
        <v>0.45</v>
      </c>
      <c r="K86" s="27">
        <f t="shared" si="20"/>
        <v>234.24230393310012</v>
      </c>
      <c r="L86" s="28">
        <f t="shared" si="21"/>
        <v>0.9720490506337558</v>
      </c>
      <c r="M86" s="29">
        <f t="shared" si="22"/>
        <v>0.45092853700459867</v>
      </c>
      <c r="N86" s="53">
        <f t="shared" si="23"/>
        <v>1.7786393892900273E-3</v>
      </c>
      <c r="W86" s="4">
        <f t="shared" si="24"/>
        <v>1</v>
      </c>
    </row>
    <row r="87" spans="1:23">
      <c r="A87" s="20">
        <f t="shared" si="15"/>
        <v>577.88708963957049</v>
      </c>
      <c r="B87" s="21">
        <f t="shared" si="25"/>
        <v>448.75</v>
      </c>
      <c r="C87" s="21">
        <f t="shared" si="26"/>
        <v>448.75</v>
      </c>
      <c r="D87" s="22">
        <f t="shared" si="16"/>
        <v>448.75</v>
      </c>
      <c r="E87" s="31">
        <f t="shared" si="27"/>
        <v>209.44947522963884</v>
      </c>
      <c r="F87" s="23">
        <f t="shared" si="17"/>
        <v>0.51913255267064484</v>
      </c>
      <c r="G87" s="24">
        <f t="shared" si="18"/>
        <v>235.0981643361167</v>
      </c>
      <c r="H87" s="32">
        <f t="shared" si="28"/>
        <v>114.44546061416881</v>
      </c>
      <c r="I87" s="25">
        <f t="shared" si="19"/>
        <v>0.97027809501835827</v>
      </c>
      <c r="J87" s="26">
        <f t="shared" si="29"/>
        <v>0.45</v>
      </c>
      <c r="K87" s="27">
        <f t="shared" si="20"/>
        <v>235.65427829870438</v>
      </c>
      <c r="L87" s="28">
        <f t="shared" si="21"/>
        <v>0.96913255267064491</v>
      </c>
      <c r="M87" s="29">
        <f t="shared" si="22"/>
        <v>0.45114554234771342</v>
      </c>
      <c r="N87" s="53">
        <f t="shared" si="23"/>
        <v>2.2066471112632837E-3</v>
      </c>
      <c r="W87" s="4">
        <f t="shared" si="24"/>
        <v>1</v>
      </c>
    </row>
    <row r="88" spans="1:23">
      <c r="A88" s="20">
        <f t="shared" si="15"/>
        <v>581.0975981749117</v>
      </c>
      <c r="B88" s="21">
        <f t="shared" si="25"/>
        <v>453.75</v>
      </c>
      <c r="C88" s="21">
        <f t="shared" si="26"/>
        <v>453.75</v>
      </c>
      <c r="D88" s="22">
        <f t="shared" si="16"/>
        <v>453.75</v>
      </c>
      <c r="E88" s="31">
        <f t="shared" si="27"/>
        <v>209.44947522963884</v>
      </c>
      <c r="F88" s="23">
        <f t="shared" si="17"/>
        <v>0.51626439507275212</v>
      </c>
      <c r="G88" s="24">
        <f t="shared" si="18"/>
        <v>236.38712276395236</v>
      </c>
      <c r="H88" s="32">
        <f t="shared" si="28"/>
        <v>114.44546061416881</v>
      </c>
      <c r="I88" s="25">
        <f t="shared" si="19"/>
        <v>0.96762914011073831</v>
      </c>
      <c r="J88" s="26">
        <f t="shared" si="29"/>
        <v>0.45</v>
      </c>
      <c r="K88" s="27">
        <f t="shared" si="20"/>
        <v>237.05533734212707</v>
      </c>
      <c r="L88" s="28">
        <f t="shared" si="21"/>
        <v>0.96626439507275208</v>
      </c>
      <c r="M88" s="29">
        <f t="shared" si="22"/>
        <v>0.45136474503798618</v>
      </c>
      <c r="N88" s="53">
        <f t="shared" si="23"/>
        <v>2.6435002123163073E-3</v>
      </c>
      <c r="W88" s="4">
        <f t="shared" si="24"/>
        <v>1</v>
      </c>
    </row>
    <row r="89" spans="1:23">
      <c r="A89" s="20">
        <f t="shared" si="15"/>
        <v>584.290466152931</v>
      </c>
      <c r="B89" s="21">
        <f t="shared" si="25"/>
        <v>458.75</v>
      </c>
      <c r="C89" s="21">
        <f t="shared" si="26"/>
        <v>458.75</v>
      </c>
      <c r="D89" s="22">
        <f t="shared" si="16"/>
        <v>458.75</v>
      </c>
      <c r="E89" s="31">
        <f t="shared" si="27"/>
        <v>209.44947522963884</v>
      </c>
      <c r="F89" s="23">
        <f t="shared" si="17"/>
        <v>0.51344325704174443</v>
      </c>
      <c r="G89" s="24">
        <f t="shared" si="18"/>
        <v>237.6625232390883</v>
      </c>
      <c r="H89" s="32">
        <f t="shared" si="28"/>
        <v>114.44546061416881</v>
      </c>
      <c r="I89" s="25">
        <f t="shared" si="19"/>
        <v>0.96502928800786847</v>
      </c>
      <c r="J89" s="26">
        <f t="shared" si="29"/>
        <v>0.45</v>
      </c>
      <c r="K89" s="27">
        <f t="shared" si="20"/>
        <v>238.44565266594242</v>
      </c>
      <c r="L89" s="28">
        <f t="shared" si="21"/>
        <v>0.96344325704174438</v>
      </c>
      <c r="M89" s="29">
        <f t="shared" si="22"/>
        <v>0.45158603096612404</v>
      </c>
      <c r="N89" s="53">
        <f t="shared" si="23"/>
        <v>3.0890092417653102E-3</v>
      </c>
      <c r="W89" s="4">
        <f t="shared" si="24"/>
        <v>1</v>
      </c>
    </row>
    <row r="90" spans="1:23">
      <c r="A90" s="20">
        <f t="shared" si="15"/>
        <v>587.4659812021182</v>
      </c>
      <c r="B90" s="21">
        <f t="shared" si="25"/>
        <v>463.75</v>
      </c>
      <c r="C90" s="21">
        <f t="shared" si="26"/>
        <v>463.75</v>
      </c>
      <c r="D90" s="22">
        <f t="shared" si="16"/>
        <v>463.75</v>
      </c>
      <c r="E90" s="31">
        <f t="shared" si="27"/>
        <v>209.44947522963884</v>
      </c>
      <c r="F90" s="23">
        <f t="shared" si="17"/>
        <v>0.51066786775655826</v>
      </c>
      <c r="G90" s="24">
        <f t="shared" si="18"/>
        <v>238.9245785570503</v>
      </c>
      <c r="H90" s="32">
        <f t="shared" si="28"/>
        <v>114.44546061416881</v>
      </c>
      <c r="I90" s="25">
        <f t="shared" si="19"/>
        <v>0.96247715848450455</v>
      </c>
      <c r="J90" s="26">
        <f t="shared" si="29"/>
        <v>0.45</v>
      </c>
      <c r="K90" s="27">
        <f t="shared" si="20"/>
        <v>239.8253916560318</v>
      </c>
      <c r="L90" s="28">
        <f t="shared" si="21"/>
        <v>0.96066786775655832</v>
      </c>
      <c r="M90" s="29">
        <f t="shared" si="22"/>
        <v>0.45180929072794629</v>
      </c>
      <c r="N90" s="53">
        <f t="shared" si="23"/>
        <v>3.5429891759095155E-3</v>
      </c>
      <c r="W90" s="4">
        <f t="shared" si="24"/>
        <v>1</v>
      </c>
    </row>
    <row r="91" spans="1:23">
      <c r="A91" s="20">
        <f t="shared" si="15"/>
        <v>590.62442321861829</v>
      </c>
      <c r="B91" s="21">
        <f t="shared" si="25"/>
        <v>468.75</v>
      </c>
      <c r="C91" s="21">
        <f t="shared" si="26"/>
        <v>468.75</v>
      </c>
      <c r="D91" s="22">
        <f t="shared" si="16"/>
        <v>468.75</v>
      </c>
      <c r="E91" s="31">
        <f t="shared" si="27"/>
        <v>209.44947522963884</v>
      </c>
      <c r="F91" s="23">
        <f t="shared" si="17"/>
        <v>0.50793700396801178</v>
      </c>
      <c r="G91" s="24">
        <f t="shared" si="18"/>
        <v>240.17349708336729</v>
      </c>
      <c r="H91" s="32">
        <f t="shared" si="28"/>
        <v>114.44546061416881</v>
      </c>
      <c r="I91" s="25">
        <f t="shared" si="19"/>
        <v>0.95997142338471197</v>
      </c>
      <c r="J91" s="26">
        <f t="shared" si="29"/>
        <v>0.45</v>
      </c>
      <c r="K91" s="27">
        <f t="shared" si="20"/>
        <v>241.19471762415594</v>
      </c>
      <c r="L91" s="28">
        <f t="shared" si="21"/>
        <v>0.95793700396801174</v>
      </c>
      <c r="M91" s="29">
        <f t="shared" si="22"/>
        <v>0.45203441941670019</v>
      </c>
      <c r="N91" s="53">
        <f t="shared" si="23"/>
        <v>4.0052593152443468E-3</v>
      </c>
      <c r="W91" s="4">
        <f t="shared" si="24"/>
        <v>1</v>
      </c>
    </row>
    <row r="92" spans="1:23">
      <c r="A92" s="20">
        <f t="shared" si="15"/>
        <v>593.76606465415637</v>
      </c>
      <c r="B92" s="21">
        <f t="shared" si="25"/>
        <v>473.75</v>
      </c>
      <c r="C92" s="21">
        <f t="shared" si="26"/>
        <v>473.75</v>
      </c>
      <c r="D92" s="22">
        <f t="shared" si="16"/>
        <v>473.75</v>
      </c>
      <c r="E92" s="31">
        <f t="shared" si="27"/>
        <v>209.44947522963884</v>
      </c>
      <c r="F92" s="23">
        <f t="shared" si="17"/>
        <v>0.50524948773341793</v>
      </c>
      <c r="G92" s="24">
        <f t="shared" si="18"/>
        <v>241.40948286825463</v>
      </c>
      <c r="H92" s="32">
        <f t="shared" si="28"/>
        <v>114.44546061416881</v>
      </c>
      <c r="I92" s="25">
        <f t="shared" si="19"/>
        <v>0.95751080415870882</v>
      </c>
      <c r="J92" s="26">
        <f t="shared" si="29"/>
        <v>0.45</v>
      </c>
      <c r="K92" s="27">
        <f t="shared" si="20"/>
        <v>242.5537899443674</v>
      </c>
      <c r="L92" s="28">
        <f t="shared" si="21"/>
        <v>0.95524948773341789</v>
      </c>
      <c r="M92" s="29">
        <f t="shared" si="22"/>
        <v>0.45226131642529088</v>
      </c>
      <c r="N92" s="53">
        <f t="shared" si="23"/>
        <v>4.4756431826092173E-3</v>
      </c>
      <c r="W92" s="4">
        <f t="shared" si="24"/>
        <v>1</v>
      </c>
    </row>
    <row r="93" spans="1:23">
      <c r="A93" s="20">
        <f t="shared" si="15"/>
        <v>596.89117079032246</v>
      </c>
      <c r="B93" s="21">
        <f t="shared" si="25"/>
        <v>478.75</v>
      </c>
      <c r="C93" s="21">
        <f t="shared" si="26"/>
        <v>478.75</v>
      </c>
      <c r="D93" s="22">
        <f t="shared" si="16"/>
        <v>478.75</v>
      </c>
      <c r="E93" s="31">
        <f t="shared" si="27"/>
        <v>209.44947522963884</v>
      </c>
      <c r="F93" s="23">
        <f t="shared" si="17"/>
        <v>0.50260418428166831</v>
      </c>
      <c r="G93" s="24">
        <f t="shared" si="18"/>
        <v>242.63273575775321</v>
      </c>
      <c r="H93" s="32">
        <f t="shared" si="28"/>
        <v>114.44546061416881</v>
      </c>
      <c r="I93" s="25">
        <f t="shared" si="19"/>
        <v>0.95509406953960552</v>
      </c>
      <c r="J93" s="26">
        <f t="shared" si="29"/>
        <v>0.45</v>
      </c>
      <c r="K93" s="27">
        <f t="shared" si="20"/>
        <v>243.90276418358789</v>
      </c>
      <c r="L93" s="28">
        <f t="shared" si="21"/>
        <v>0.95260418428166838</v>
      </c>
      <c r="M93" s="29">
        <f t="shared" si="22"/>
        <v>0.45248988525793721</v>
      </c>
      <c r="N93" s="53">
        <f t="shared" si="23"/>
        <v>4.9539684224789915E-3</v>
      </c>
      <c r="W93" s="4">
        <f t="shared" si="24"/>
        <v>1</v>
      </c>
    </row>
    <row r="94" spans="1:23">
      <c r="A94" s="20">
        <f t="shared" si="15"/>
        <v>600</v>
      </c>
      <c r="B94" s="21">
        <f t="shared" si="25"/>
        <v>483.75</v>
      </c>
      <c r="C94" s="21">
        <f t="shared" si="26"/>
        <v>483.75</v>
      </c>
      <c r="D94" s="22">
        <f t="shared" si="16"/>
        <v>483.75</v>
      </c>
      <c r="E94" s="31">
        <f t="shared" si="27"/>
        <v>209.44947522963884</v>
      </c>
      <c r="F94" s="23">
        <f t="shared" si="17"/>
        <v>0.5</v>
      </c>
      <c r="G94" s="24">
        <f t="shared" si="18"/>
        <v>243.84345150145077</v>
      </c>
      <c r="H94" s="32">
        <f t="shared" si="28"/>
        <v>114.44546061416881</v>
      </c>
      <c r="I94" s="25">
        <f t="shared" si="19"/>
        <v>0.95272003335078703</v>
      </c>
      <c r="J94" s="26">
        <f t="shared" si="29"/>
        <v>0.45</v>
      </c>
      <c r="K94" s="27">
        <f t="shared" si="20"/>
        <v>245.24179222665455</v>
      </c>
      <c r="L94" s="28">
        <f t="shared" si="21"/>
        <v>0.95</v>
      </c>
      <c r="M94" s="29">
        <f t="shared" si="22"/>
        <v>0.45272003335078703</v>
      </c>
      <c r="N94" s="53">
        <f t="shared" si="23"/>
        <v>5.4400667015740423E-3</v>
      </c>
      <c r="W94" s="4">
        <f t="shared" si="24"/>
        <v>1</v>
      </c>
    </row>
    <row r="95" spans="1:23">
      <c r="A95" s="20" t="str">
        <f t="shared" si="15"/>
        <v/>
      </c>
      <c r="B95" s="21">
        <f t="shared" si="25"/>
        <v>488.75</v>
      </c>
      <c r="C95" s="21">
        <f t="shared" si="26"/>
        <v>488.75</v>
      </c>
      <c r="D95" s="22" t="str">
        <f t="shared" si="16"/>
        <v/>
      </c>
      <c r="E95" s="31">
        <f t="shared" si="27"/>
        <v>0</v>
      </c>
      <c r="F95" s="23" t="str">
        <f t="shared" si="17"/>
        <v/>
      </c>
      <c r="G95" s="24" t="str">
        <f t="shared" si="18"/>
        <v/>
      </c>
      <c r="H95" s="32">
        <f t="shared" si="28"/>
        <v>0</v>
      </c>
      <c r="I95" s="25" t="str">
        <f t="shared" si="19"/>
        <v/>
      </c>
      <c r="J95" s="26">
        <f t="shared" si="29"/>
        <v>0</v>
      </c>
      <c r="K95" s="27" t="str">
        <f t="shared" si="20"/>
        <v/>
      </c>
      <c r="L95" s="28" t="str">
        <f t="shared" si="21"/>
        <v/>
      </c>
      <c r="M95" s="29" t="str">
        <f t="shared" si="22"/>
        <v/>
      </c>
      <c r="N95" s="53" t="str">
        <f t="shared" si="23"/>
        <v/>
      </c>
      <c r="W95" s="4">
        <f t="shared" si="24"/>
        <v>0</v>
      </c>
    </row>
    <row r="96" spans="1:23">
      <c r="A96" s="20" t="str">
        <f t="shared" si="15"/>
        <v/>
      </c>
      <c r="B96" s="21" t="str">
        <f t="shared" si="25"/>
        <v/>
      </c>
      <c r="C96" s="21" t="str">
        <f t="shared" si="26"/>
        <v/>
      </c>
      <c r="D96" s="22" t="str">
        <f t="shared" si="16"/>
        <v/>
      </c>
      <c r="E96" s="31" t="str">
        <f t="shared" si="27"/>
        <v/>
      </c>
      <c r="F96" s="23" t="str">
        <f t="shared" si="17"/>
        <v/>
      </c>
      <c r="G96" s="24" t="str">
        <f t="shared" si="18"/>
        <v/>
      </c>
      <c r="H96" s="32" t="str">
        <f t="shared" si="28"/>
        <v/>
      </c>
      <c r="I96" s="25" t="str">
        <f t="shared" si="19"/>
        <v/>
      </c>
      <c r="J96" s="26" t="str">
        <f t="shared" si="29"/>
        <v/>
      </c>
      <c r="K96" s="27" t="str">
        <f t="shared" si="20"/>
        <v/>
      </c>
      <c r="L96" s="28" t="str">
        <f t="shared" si="21"/>
        <v/>
      </c>
      <c r="M96" s="29" t="str">
        <f t="shared" si="22"/>
        <v/>
      </c>
      <c r="N96" s="53" t="str">
        <f t="shared" si="23"/>
        <v/>
      </c>
      <c r="W96" s="4">
        <f t="shared" si="24"/>
        <v>0</v>
      </c>
    </row>
    <row r="97" spans="1:27">
      <c r="A97" s="20" t="str">
        <f t="shared" si="15"/>
        <v/>
      </c>
      <c r="B97" s="21" t="str">
        <f t="shared" si="25"/>
        <v/>
      </c>
      <c r="C97" s="21" t="str">
        <f t="shared" si="26"/>
        <v/>
      </c>
      <c r="D97" s="22" t="str">
        <f t="shared" si="16"/>
        <v/>
      </c>
      <c r="E97" s="31" t="str">
        <f t="shared" si="27"/>
        <v/>
      </c>
      <c r="F97" s="23" t="str">
        <f t="shared" si="17"/>
        <v/>
      </c>
      <c r="G97" s="24" t="str">
        <f t="shared" si="18"/>
        <v/>
      </c>
      <c r="H97" s="32" t="str">
        <f t="shared" si="28"/>
        <v/>
      </c>
      <c r="I97" s="25" t="str">
        <f t="shared" si="19"/>
        <v/>
      </c>
      <c r="J97" s="26" t="str">
        <f t="shared" si="29"/>
        <v/>
      </c>
      <c r="K97" s="27" t="str">
        <f t="shared" si="20"/>
        <v/>
      </c>
      <c r="L97" s="28" t="str">
        <f t="shared" si="21"/>
        <v/>
      </c>
      <c r="M97" s="29" t="str">
        <f t="shared" si="22"/>
        <v/>
      </c>
      <c r="N97" s="53" t="str">
        <f t="shared" si="23"/>
        <v/>
      </c>
      <c r="W97" s="4">
        <f t="shared" si="24"/>
        <v>0</v>
      </c>
    </row>
    <row r="98" spans="1:27">
      <c r="A98" s="20" t="str">
        <f t="shared" si="15"/>
        <v/>
      </c>
      <c r="B98" s="21" t="str">
        <f t="shared" si="25"/>
        <v/>
      </c>
      <c r="C98" s="21" t="str">
        <f t="shared" si="26"/>
        <v/>
      </c>
      <c r="D98" s="22" t="str">
        <f t="shared" si="16"/>
        <v/>
      </c>
      <c r="E98" s="31" t="str">
        <f t="shared" si="27"/>
        <v/>
      </c>
      <c r="F98" s="23" t="str">
        <f t="shared" si="17"/>
        <v/>
      </c>
      <c r="G98" s="24" t="str">
        <f t="shared" si="18"/>
        <v/>
      </c>
      <c r="H98" s="32" t="str">
        <f t="shared" si="28"/>
        <v/>
      </c>
      <c r="I98" s="25" t="str">
        <f t="shared" si="19"/>
        <v/>
      </c>
      <c r="J98" s="26" t="str">
        <f t="shared" si="29"/>
        <v/>
      </c>
      <c r="K98" s="27" t="str">
        <f t="shared" si="20"/>
        <v/>
      </c>
      <c r="L98" s="28" t="str">
        <f t="shared" si="21"/>
        <v/>
      </c>
      <c r="M98" s="29" t="str">
        <f t="shared" si="22"/>
        <v/>
      </c>
      <c r="N98" s="53" t="str">
        <f t="shared" si="23"/>
        <v/>
      </c>
      <c r="P98" s="1"/>
      <c r="W98" s="4">
        <f t="shared" si="24"/>
        <v>0</v>
      </c>
    </row>
    <row r="99" spans="1:27">
      <c r="A99" s="20" t="str">
        <f t="shared" si="15"/>
        <v/>
      </c>
      <c r="B99" s="21" t="str">
        <f t="shared" si="25"/>
        <v/>
      </c>
      <c r="C99" s="21" t="str">
        <f t="shared" si="26"/>
        <v/>
      </c>
      <c r="D99" s="22" t="str">
        <f t="shared" si="16"/>
        <v/>
      </c>
      <c r="E99" s="31" t="str">
        <f t="shared" si="27"/>
        <v/>
      </c>
      <c r="F99" s="23" t="str">
        <f t="shared" si="17"/>
        <v/>
      </c>
      <c r="G99" s="24" t="str">
        <f t="shared" si="18"/>
        <v/>
      </c>
      <c r="H99" s="32" t="str">
        <f t="shared" si="28"/>
        <v/>
      </c>
      <c r="I99" s="25" t="str">
        <f t="shared" si="19"/>
        <v/>
      </c>
      <c r="J99" s="26" t="str">
        <f t="shared" si="29"/>
        <v/>
      </c>
      <c r="K99" s="27" t="str">
        <f t="shared" si="20"/>
        <v/>
      </c>
      <c r="L99" s="28" t="str">
        <f t="shared" si="21"/>
        <v/>
      </c>
      <c r="M99" s="29" t="str">
        <f t="shared" si="22"/>
        <v/>
      </c>
      <c r="N99" s="53" t="str">
        <f t="shared" si="23"/>
        <v/>
      </c>
      <c r="P99" s="1"/>
      <c r="W99" s="4">
        <f t="shared" si="24"/>
        <v>0</v>
      </c>
    </row>
    <row r="100" spans="1:27">
      <c r="A100" s="20" t="str">
        <f t="shared" si="15"/>
        <v/>
      </c>
      <c r="B100" s="21" t="str">
        <f t="shared" si="25"/>
        <v/>
      </c>
      <c r="C100" s="21" t="str">
        <f t="shared" si="26"/>
        <v/>
      </c>
      <c r="D100" s="22" t="str">
        <f t="shared" si="16"/>
        <v/>
      </c>
      <c r="E100" s="31" t="str">
        <f t="shared" si="27"/>
        <v/>
      </c>
      <c r="F100" s="23" t="str">
        <f t="shared" si="17"/>
        <v/>
      </c>
      <c r="G100" s="24" t="str">
        <f t="shared" si="18"/>
        <v/>
      </c>
      <c r="H100" s="32" t="str">
        <f t="shared" si="28"/>
        <v/>
      </c>
      <c r="I100" s="25" t="str">
        <f t="shared" si="19"/>
        <v/>
      </c>
      <c r="J100" s="26" t="str">
        <f t="shared" si="29"/>
        <v/>
      </c>
      <c r="K100" s="27" t="str">
        <f t="shared" si="20"/>
        <v/>
      </c>
      <c r="L100" s="28" t="str">
        <f t="shared" si="21"/>
        <v/>
      </c>
      <c r="M100" s="29" t="str">
        <f t="shared" si="22"/>
        <v/>
      </c>
      <c r="N100" s="53" t="str">
        <f t="shared" si="23"/>
        <v/>
      </c>
      <c r="O100" s="1"/>
      <c r="P100" s="1"/>
      <c r="Q100" s="1"/>
      <c r="R100" s="1"/>
      <c r="S100" s="1"/>
      <c r="T100" s="1"/>
      <c r="U100" s="1"/>
      <c r="V100" s="1"/>
      <c r="W100" s="4">
        <f t="shared" si="24"/>
        <v>0</v>
      </c>
      <c r="X100" s="1"/>
      <c r="Y100" s="1"/>
      <c r="Z100" s="1"/>
      <c r="AA100" s="1"/>
    </row>
    <row r="101" spans="1:27" s="1" customFormat="1">
      <c r="A101" s="20" t="str">
        <f t="shared" si="15"/>
        <v/>
      </c>
      <c r="B101" s="21" t="str">
        <f t="shared" si="25"/>
        <v/>
      </c>
      <c r="C101" s="21" t="str">
        <f t="shared" si="26"/>
        <v/>
      </c>
      <c r="D101" s="22" t="str">
        <f t="shared" si="16"/>
        <v/>
      </c>
      <c r="E101" s="31" t="str">
        <f t="shared" si="27"/>
        <v/>
      </c>
      <c r="F101" s="23" t="str">
        <f t="shared" si="17"/>
        <v/>
      </c>
      <c r="G101" s="24" t="str">
        <f t="shared" si="18"/>
        <v/>
      </c>
      <c r="H101" s="32" t="str">
        <f t="shared" si="28"/>
        <v/>
      </c>
      <c r="I101" s="25" t="str">
        <f t="shared" si="19"/>
        <v/>
      </c>
      <c r="J101" s="26" t="str">
        <f t="shared" si="29"/>
        <v/>
      </c>
      <c r="K101" s="27" t="str">
        <f t="shared" si="20"/>
        <v/>
      </c>
      <c r="L101" s="28" t="str">
        <f t="shared" si="21"/>
        <v/>
      </c>
      <c r="M101" s="29" t="str">
        <f t="shared" si="22"/>
        <v/>
      </c>
      <c r="N101" s="53" t="str">
        <f t="shared" si="23"/>
        <v/>
      </c>
      <c r="W101" s="4">
        <f t="shared" si="24"/>
        <v>0</v>
      </c>
    </row>
    <row r="102" spans="1:27" s="1" customFormat="1">
      <c r="A102" s="20" t="str">
        <f t="shared" si="15"/>
        <v/>
      </c>
      <c r="B102" s="21" t="str">
        <f t="shared" si="25"/>
        <v/>
      </c>
      <c r="C102" s="21" t="str">
        <f t="shared" si="26"/>
        <v/>
      </c>
      <c r="D102" s="22" t="str">
        <f t="shared" si="16"/>
        <v/>
      </c>
      <c r="E102" s="31" t="str">
        <f t="shared" si="27"/>
        <v/>
      </c>
      <c r="F102" s="23" t="str">
        <f t="shared" si="17"/>
        <v/>
      </c>
      <c r="G102" s="24" t="str">
        <f t="shared" si="18"/>
        <v/>
      </c>
      <c r="H102" s="32" t="str">
        <f t="shared" si="28"/>
        <v/>
      </c>
      <c r="I102" s="25" t="str">
        <f t="shared" si="19"/>
        <v/>
      </c>
      <c r="J102" s="26" t="str">
        <f t="shared" si="29"/>
        <v/>
      </c>
      <c r="K102" s="27" t="str">
        <f t="shared" si="20"/>
        <v/>
      </c>
      <c r="L102" s="28" t="str">
        <f t="shared" si="21"/>
        <v/>
      </c>
      <c r="M102" s="29" t="str">
        <f t="shared" si="22"/>
        <v/>
      </c>
      <c r="N102" s="53" t="str">
        <f t="shared" si="23"/>
        <v/>
      </c>
      <c r="W102" s="4">
        <f t="shared" si="24"/>
        <v>0</v>
      </c>
    </row>
    <row r="103" spans="1:27" s="1" customFormat="1">
      <c r="A103" s="20" t="str">
        <f t="shared" si="15"/>
        <v/>
      </c>
      <c r="B103" s="21" t="str">
        <f t="shared" si="25"/>
        <v/>
      </c>
      <c r="C103" s="21" t="str">
        <f t="shared" si="26"/>
        <v/>
      </c>
      <c r="D103" s="22" t="str">
        <f t="shared" si="16"/>
        <v/>
      </c>
      <c r="E103" s="31" t="str">
        <f t="shared" si="27"/>
        <v/>
      </c>
      <c r="F103" s="23" t="str">
        <f t="shared" si="17"/>
        <v/>
      </c>
      <c r="G103" s="24" t="str">
        <f t="shared" si="18"/>
        <v/>
      </c>
      <c r="H103" s="32" t="str">
        <f t="shared" si="28"/>
        <v/>
      </c>
      <c r="I103" s="25" t="str">
        <f t="shared" si="19"/>
        <v/>
      </c>
      <c r="J103" s="26" t="str">
        <f t="shared" si="29"/>
        <v/>
      </c>
      <c r="K103" s="27" t="str">
        <f t="shared" si="20"/>
        <v/>
      </c>
      <c r="L103" s="28" t="str">
        <f t="shared" si="21"/>
        <v/>
      </c>
      <c r="M103" s="29" t="str">
        <f t="shared" si="22"/>
        <v/>
      </c>
      <c r="N103" s="53" t="str">
        <f t="shared" si="23"/>
        <v/>
      </c>
      <c r="W103" s="4">
        <f t="shared" si="24"/>
        <v>0</v>
      </c>
    </row>
    <row r="104" spans="1:27" s="1" customFormat="1">
      <c r="A104" s="20" t="str">
        <f t="shared" si="15"/>
        <v/>
      </c>
      <c r="B104" s="21" t="str">
        <f t="shared" si="25"/>
        <v/>
      </c>
      <c r="C104" s="21" t="str">
        <f t="shared" si="26"/>
        <v/>
      </c>
      <c r="D104" s="22" t="str">
        <f t="shared" si="16"/>
        <v/>
      </c>
      <c r="E104" s="31" t="str">
        <f t="shared" si="27"/>
        <v/>
      </c>
      <c r="F104" s="23" t="str">
        <f t="shared" si="17"/>
        <v/>
      </c>
      <c r="G104" s="24" t="str">
        <f t="shared" si="18"/>
        <v/>
      </c>
      <c r="H104" s="32" t="str">
        <f t="shared" si="28"/>
        <v/>
      </c>
      <c r="I104" s="25" t="str">
        <f t="shared" si="19"/>
        <v/>
      </c>
      <c r="J104" s="26" t="str">
        <f t="shared" si="29"/>
        <v/>
      </c>
      <c r="K104" s="27" t="str">
        <f t="shared" si="20"/>
        <v/>
      </c>
      <c r="L104" s="28" t="str">
        <f t="shared" si="21"/>
        <v/>
      </c>
      <c r="M104" s="29" t="str">
        <f t="shared" si="22"/>
        <v/>
      </c>
      <c r="N104" s="53" t="str">
        <f t="shared" si="23"/>
        <v/>
      </c>
      <c r="W104" s="4">
        <f t="shared" si="24"/>
        <v>0</v>
      </c>
    </row>
    <row r="105" spans="1:27" s="1" customFormat="1">
      <c r="A105" s="20" t="str">
        <f t="shared" si="15"/>
        <v/>
      </c>
      <c r="B105" s="21" t="str">
        <f t="shared" si="25"/>
        <v/>
      </c>
      <c r="C105" s="21" t="str">
        <f t="shared" si="26"/>
        <v/>
      </c>
      <c r="D105" s="22" t="str">
        <f t="shared" si="16"/>
        <v/>
      </c>
      <c r="E105" s="31" t="str">
        <f t="shared" si="27"/>
        <v/>
      </c>
      <c r="F105" s="23" t="str">
        <f t="shared" si="17"/>
        <v/>
      </c>
      <c r="G105" s="24" t="str">
        <f t="shared" si="18"/>
        <v/>
      </c>
      <c r="H105" s="32" t="str">
        <f t="shared" si="28"/>
        <v/>
      </c>
      <c r="I105" s="25" t="str">
        <f t="shared" si="19"/>
        <v/>
      </c>
      <c r="J105" s="26" t="str">
        <f t="shared" si="29"/>
        <v/>
      </c>
      <c r="K105" s="27" t="str">
        <f t="shared" si="20"/>
        <v/>
      </c>
      <c r="L105" s="28" t="str">
        <f t="shared" si="21"/>
        <v/>
      </c>
      <c r="M105" s="29" t="str">
        <f t="shared" si="22"/>
        <v/>
      </c>
      <c r="N105" s="53" t="str">
        <f t="shared" si="23"/>
        <v/>
      </c>
      <c r="W105" s="4">
        <f t="shared" si="24"/>
        <v>0</v>
      </c>
    </row>
    <row r="106" spans="1:27" s="1" customFormat="1">
      <c r="A106" s="20" t="str">
        <f t="shared" si="15"/>
        <v/>
      </c>
      <c r="B106" s="21" t="str">
        <f t="shared" si="25"/>
        <v/>
      </c>
      <c r="C106" s="21" t="str">
        <f t="shared" si="26"/>
        <v/>
      </c>
      <c r="D106" s="22" t="str">
        <f t="shared" si="16"/>
        <v/>
      </c>
      <c r="E106" s="31" t="str">
        <f t="shared" si="27"/>
        <v/>
      </c>
      <c r="F106" s="23" t="str">
        <f t="shared" si="17"/>
        <v/>
      </c>
      <c r="G106" s="24" t="str">
        <f t="shared" si="18"/>
        <v/>
      </c>
      <c r="H106" s="32" t="str">
        <f t="shared" si="28"/>
        <v/>
      </c>
      <c r="I106" s="25" t="str">
        <f t="shared" si="19"/>
        <v/>
      </c>
      <c r="J106" s="26" t="str">
        <f t="shared" si="29"/>
        <v/>
      </c>
      <c r="K106" s="27" t="str">
        <f t="shared" si="20"/>
        <v/>
      </c>
      <c r="L106" s="28" t="str">
        <f t="shared" si="21"/>
        <v/>
      </c>
      <c r="M106" s="29" t="str">
        <f t="shared" si="22"/>
        <v/>
      </c>
      <c r="N106" s="53" t="str">
        <f t="shared" si="23"/>
        <v/>
      </c>
      <c r="W106" s="4">
        <f t="shared" si="24"/>
        <v>0</v>
      </c>
    </row>
    <row r="107" spans="1:27" s="1" customFormat="1">
      <c r="A107" s="20" t="str">
        <f t="shared" si="15"/>
        <v/>
      </c>
      <c r="B107" s="21" t="str">
        <f t="shared" si="25"/>
        <v/>
      </c>
      <c r="C107" s="21" t="str">
        <f t="shared" si="26"/>
        <v/>
      </c>
      <c r="D107" s="22" t="str">
        <f t="shared" si="16"/>
        <v/>
      </c>
      <c r="E107" s="31" t="str">
        <f t="shared" si="27"/>
        <v/>
      </c>
      <c r="F107" s="23" t="str">
        <f t="shared" si="17"/>
        <v/>
      </c>
      <c r="G107" s="24" t="str">
        <f t="shared" si="18"/>
        <v/>
      </c>
      <c r="H107" s="32" t="str">
        <f t="shared" si="28"/>
        <v/>
      </c>
      <c r="I107" s="25" t="str">
        <f t="shared" si="19"/>
        <v/>
      </c>
      <c r="J107" s="26" t="str">
        <f t="shared" si="29"/>
        <v/>
      </c>
      <c r="K107" s="27" t="str">
        <f t="shared" si="20"/>
        <v/>
      </c>
      <c r="L107" s="28" t="str">
        <f t="shared" si="21"/>
        <v/>
      </c>
      <c r="M107" s="29" t="str">
        <f t="shared" si="22"/>
        <v/>
      </c>
      <c r="N107" s="53" t="str">
        <f t="shared" si="23"/>
        <v/>
      </c>
      <c r="W107" s="4">
        <f t="shared" si="24"/>
        <v>0</v>
      </c>
    </row>
    <row r="108" spans="1:27" s="1" customFormat="1">
      <c r="A108" s="20" t="str">
        <f t="shared" si="15"/>
        <v/>
      </c>
      <c r="B108" s="21" t="str">
        <f t="shared" si="25"/>
        <v/>
      </c>
      <c r="C108" s="21" t="str">
        <f t="shared" si="26"/>
        <v/>
      </c>
      <c r="D108" s="22" t="str">
        <f t="shared" si="16"/>
        <v/>
      </c>
      <c r="E108" s="31" t="str">
        <f t="shared" si="27"/>
        <v/>
      </c>
      <c r="F108" s="23" t="str">
        <f t="shared" si="17"/>
        <v/>
      </c>
      <c r="G108" s="24" t="str">
        <f t="shared" si="18"/>
        <v/>
      </c>
      <c r="H108" s="32" t="str">
        <f t="shared" si="28"/>
        <v/>
      </c>
      <c r="I108" s="25" t="str">
        <f t="shared" si="19"/>
        <v/>
      </c>
      <c r="J108" s="26" t="str">
        <f t="shared" si="29"/>
        <v/>
      </c>
      <c r="K108" s="27" t="str">
        <f t="shared" si="20"/>
        <v/>
      </c>
      <c r="L108" s="28" t="str">
        <f t="shared" si="21"/>
        <v/>
      </c>
      <c r="M108" s="29" t="str">
        <f t="shared" si="22"/>
        <v/>
      </c>
      <c r="N108" s="53" t="str">
        <f t="shared" si="23"/>
        <v/>
      </c>
      <c r="W108" s="4">
        <f t="shared" si="24"/>
        <v>0</v>
      </c>
    </row>
    <row r="109" spans="1:27" s="1" customFormat="1">
      <c r="A109" s="20" t="str">
        <f t="shared" si="15"/>
        <v/>
      </c>
      <c r="B109" s="21" t="str">
        <f t="shared" si="25"/>
        <v/>
      </c>
      <c r="C109" s="21" t="str">
        <f t="shared" si="26"/>
        <v/>
      </c>
      <c r="D109" s="22" t="str">
        <f t="shared" si="16"/>
        <v/>
      </c>
      <c r="E109" s="31" t="str">
        <f t="shared" si="27"/>
        <v/>
      </c>
      <c r="F109" s="23" t="str">
        <f t="shared" si="17"/>
        <v/>
      </c>
      <c r="G109" s="24" t="str">
        <f t="shared" si="18"/>
        <v/>
      </c>
      <c r="H109" s="32" t="str">
        <f t="shared" si="28"/>
        <v/>
      </c>
      <c r="I109" s="25" t="str">
        <f t="shared" si="19"/>
        <v/>
      </c>
      <c r="J109" s="26" t="str">
        <f t="shared" si="29"/>
        <v/>
      </c>
      <c r="K109" s="27" t="str">
        <f t="shared" si="20"/>
        <v/>
      </c>
      <c r="L109" s="28" t="str">
        <f t="shared" si="21"/>
        <v/>
      </c>
      <c r="M109" s="29" t="str">
        <f t="shared" si="22"/>
        <v/>
      </c>
      <c r="N109" s="53" t="str">
        <f t="shared" si="23"/>
        <v/>
      </c>
      <c r="W109" s="4">
        <f t="shared" si="24"/>
        <v>0</v>
      </c>
    </row>
    <row r="110" spans="1:27" s="1" customFormat="1">
      <c r="A110" s="20" t="str">
        <f t="shared" si="15"/>
        <v/>
      </c>
      <c r="B110" s="21" t="str">
        <f t="shared" si="25"/>
        <v/>
      </c>
      <c r="C110" s="21" t="str">
        <f t="shared" si="26"/>
        <v/>
      </c>
      <c r="D110" s="22" t="str">
        <f t="shared" si="16"/>
        <v/>
      </c>
      <c r="E110" s="31" t="str">
        <f t="shared" si="27"/>
        <v/>
      </c>
      <c r="F110" s="23" t="str">
        <f t="shared" si="17"/>
        <v/>
      </c>
      <c r="G110" s="24" t="str">
        <f t="shared" si="18"/>
        <v/>
      </c>
      <c r="H110" s="32" t="str">
        <f t="shared" si="28"/>
        <v/>
      </c>
      <c r="I110" s="25" t="str">
        <f t="shared" si="19"/>
        <v/>
      </c>
      <c r="J110" s="26" t="str">
        <f t="shared" si="29"/>
        <v/>
      </c>
      <c r="K110" s="27" t="str">
        <f t="shared" si="20"/>
        <v/>
      </c>
      <c r="L110" s="28" t="str">
        <f t="shared" si="21"/>
        <v/>
      </c>
      <c r="M110" s="29" t="str">
        <f t="shared" si="22"/>
        <v/>
      </c>
      <c r="N110" s="53" t="str">
        <f t="shared" si="23"/>
        <v/>
      </c>
      <c r="W110" s="4">
        <f t="shared" si="24"/>
        <v>0</v>
      </c>
    </row>
    <row r="111" spans="1:27" s="1" customFormat="1">
      <c r="A111" s="20" t="str">
        <f t="shared" si="15"/>
        <v/>
      </c>
      <c r="B111" s="21" t="str">
        <f t="shared" si="25"/>
        <v/>
      </c>
      <c r="C111" s="21" t="str">
        <f t="shared" si="26"/>
        <v/>
      </c>
      <c r="D111" s="22" t="str">
        <f t="shared" si="16"/>
        <v/>
      </c>
      <c r="E111" s="31" t="str">
        <f t="shared" si="27"/>
        <v/>
      </c>
      <c r="F111" s="23" t="str">
        <f t="shared" si="17"/>
        <v/>
      </c>
      <c r="G111" s="24" t="str">
        <f t="shared" si="18"/>
        <v/>
      </c>
      <c r="H111" s="32" t="str">
        <f t="shared" si="28"/>
        <v/>
      </c>
      <c r="I111" s="25" t="str">
        <f t="shared" si="19"/>
        <v/>
      </c>
      <c r="J111" s="26" t="str">
        <f t="shared" si="29"/>
        <v/>
      </c>
      <c r="K111" s="27" t="str">
        <f t="shared" si="20"/>
        <v/>
      </c>
      <c r="L111" s="28" t="str">
        <f t="shared" si="21"/>
        <v/>
      </c>
      <c r="M111" s="29" t="str">
        <f t="shared" si="22"/>
        <v/>
      </c>
      <c r="N111" s="53" t="str">
        <f t="shared" si="23"/>
        <v/>
      </c>
      <c r="W111" s="4">
        <f t="shared" si="24"/>
        <v>0</v>
      </c>
    </row>
    <row r="112" spans="1:27" s="1" customFormat="1">
      <c r="A112" s="20" t="str">
        <f t="shared" si="15"/>
        <v/>
      </c>
      <c r="B112" s="21" t="str">
        <f t="shared" si="25"/>
        <v/>
      </c>
      <c r="C112" s="21" t="str">
        <f t="shared" si="26"/>
        <v/>
      </c>
      <c r="D112" s="22" t="str">
        <f t="shared" si="16"/>
        <v/>
      </c>
      <c r="E112" s="31" t="str">
        <f t="shared" si="27"/>
        <v/>
      </c>
      <c r="F112" s="23" t="str">
        <f t="shared" si="17"/>
        <v/>
      </c>
      <c r="G112" s="24" t="str">
        <f t="shared" si="18"/>
        <v/>
      </c>
      <c r="H112" s="32" t="str">
        <f t="shared" si="28"/>
        <v/>
      </c>
      <c r="I112" s="25" t="str">
        <f t="shared" si="19"/>
        <v/>
      </c>
      <c r="J112" s="26" t="str">
        <f t="shared" si="29"/>
        <v/>
      </c>
      <c r="K112" s="27" t="str">
        <f t="shared" si="20"/>
        <v/>
      </c>
      <c r="L112" s="28" t="str">
        <f t="shared" si="21"/>
        <v/>
      </c>
      <c r="M112" s="29" t="str">
        <f t="shared" si="22"/>
        <v/>
      </c>
      <c r="N112" s="53" t="str">
        <f t="shared" si="23"/>
        <v/>
      </c>
      <c r="W112" s="4">
        <f t="shared" si="24"/>
        <v>0</v>
      </c>
    </row>
    <row r="113" spans="1:23" s="1" customFormat="1">
      <c r="A113" s="20" t="str">
        <f t="shared" si="15"/>
        <v/>
      </c>
      <c r="B113" s="21" t="str">
        <f t="shared" si="25"/>
        <v/>
      </c>
      <c r="C113" s="21" t="str">
        <f t="shared" si="26"/>
        <v/>
      </c>
      <c r="D113" s="22" t="str">
        <f t="shared" si="16"/>
        <v/>
      </c>
      <c r="E113" s="31" t="str">
        <f t="shared" si="27"/>
        <v/>
      </c>
      <c r="F113" s="23" t="str">
        <f t="shared" si="17"/>
        <v/>
      </c>
      <c r="G113" s="24" t="str">
        <f t="shared" si="18"/>
        <v/>
      </c>
      <c r="H113" s="32" t="str">
        <f t="shared" si="28"/>
        <v/>
      </c>
      <c r="I113" s="25" t="str">
        <f t="shared" si="19"/>
        <v/>
      </c>
      <c r="J113" s="26" t="str">
        <f t="shared" si="29"/>
        <v/>
      </c>
      <c r="K113" s="27" t="str">
        <f t="shared" si="20"/>
        <v/>
      </c>
      <c r="L113" s="28" t="str">
        <f t="shared" si="21"/>
        <v/>
      </c>
      <c r="M113" s="29" t="str">
        <f t="shared" si="22"/>
        <v/>
      </c>
      <c r="N113" s="53" t="str">
        <f t="shared" si="23"/>
        <v/>
      </c>
      <c r="W113" s="4">
        <f t="shared" si="24"/>
        <v>0</v>
      </c>
    </row>
    <row r="114" spans="1:23" s="1" customFormat="1">
      <c r="A114" s="20" t="str">
        <f t="shared" si="15"/>
        <v/>
      </c>
      <c r="B114" s="21" t="str">
        <f t="shared" si="25"/>
        <v/>
      </c>
      <c r="C114" s="21" t="str">
        <f t="shared" si="26"/>
        <v/>
      </c>
      <c r="D114" s="22" t="str">
        <f t="shared" si="16"/>
        <v/>
      </c>
      <c r="E114" s="31" t="str">
        <f t="shared" si="27"/>
        <v/>
      </c>
      <c r="F114" s="23" t="str">
        <f t="shared" si="17"/>
        <v/>
      </c>
      <c r="G114" s="24" t="str">
        <f t="shared" si="18"/>
        <v/>
      </c>
      <c r="H114" s="32" t="str">
        <f t="shared" si="28"/>
        <v/>
      </c>
      <c r="I114" s="25" t="str">
        <f t="shared" si="19"/>
        <v/>
      </c>
      <c r="J114" s="26" t="str">
        <f t="shared" si="29"/>
        <v/>
      </c>
      <c r="K114" s="27" t="str">
        <f t="shared" si="20"/>
        <v/>
      </c>
      <c r="L114" s="28" t="str">
        <f t="shared" si="21"/>
        <v/>
      </c>
      <c r="M114" s="29" t="str">
        <f t="shared" si="22"/>
        <v/>
      </c>
      <c r="N114" s="53" t="str">
        <f t="shared" si="23"/>
        <v/>
      </c>
      <c r="W114" s="4">
        <f t="shared" si="24"/>
        <v>0</v>
      </c>
    </row>
    <row r="115" spans="1:23" s="1" customFormat="1">
      <c r="D115" s="30"/>
      <c r="F115" s="30"/>
      <c r="H115" s="30"/>
      <c r="J115" s="30"/>
      <c r="L115" s="30"/>
      <c r="N115" s="30"/>
      <c r="W115" s="4"/>
    </row>
    <row r="116" spans="1:23" s="1" customFormat="1">
      <c r="B116" s="30"/>
      <c r="D116" s="30"/>
      <c r="F116" s="30"/>
      <c r="H116" s="30"/>
      <c r="J116" s="30"/>
      <c r="L116" s="30"/>
      <c r="N116" s="30"/>
      <c r="W116" s="4"/>
    </row>
    <row r="117" spans="1:23" s="1" customFormat="1">
      <c r="B117" s="30"/>
      <c r="D117" s="30"/>
      <c r="F117" s="30"/>
      <c r="H117" s="30"/>
      <c r="J117" s="30"/>
      <c r="L117" s="30"/>
      <c r="N117" s="30"/>
      <c r="W117" s="4"/>
    </row>
    <row r="118" spans="1:23" s="1" customFormat="1">
      <c r="B118" s="30"/>
      <c r="D118" s="30"/>
      <c r="F118" s="30"/>
      <c r="H118" s="30"/>
      <c r="J118" s="30"/>
      <c r="L118" s="30"/>
      <c r="N118" s="30"/>
      <c r="W118" s="4"/>
    </row>
    <row r="119" spans="1:23" s="1" customFormat="1">
      <c r="B119" s="30"/>
      <c r="D119" s="30"/>
      <c r="F119" s="30"/>
      <c r="H119" s="30"/>
      <c r="J119" s="30"/>
      <c r="L119" s="30"/>
      <c r="N119" s="30"/>
      <c r="W119" s="4"/>
    </row>
    <row r="120" spans="1:23" s="1" customFormat="1">
      <c r="B120" s="30"/>
      <c r="D120" s="30"/>
      <c r="F120" s="30"/>
      <c r="H120" s="30"/>
      <c r="J120" s="30"/>
      <c r="L120" s="30"/>
      <c r="N120" s="30"/>
      <c r="W120" s="4"/>
    </row>
    <row r="121" spans="1:23" s="1" customFormat="1">
      <c r="B121" s="30"/>
      <c r="D121" s="30"/>
      <c r="F121" s="30"/>
      <c r="H121" s="30"/>
      <c r="J121" s="30"/>
      <c r="L121" s="30"/>
      <c r="N121" s="30"/>
      <c r="W121" s="4"/>
    </row>
    <row r="122" spans="1:23" s="1" customFormat="1">
      <c r="B122" s="30"/>
      <c r="D122" s="30"/>
      <c r="F122" s="30"/>
      <c r="H122" s="30"/>
      <c r="J122" s="30"/>
      <c r="L122" s="30"/>
      <c r="N122" s="30"/>
      <c r="W122" s="4"/>
    </row>
    <row r="123" spans="1:23" s="1" customFormat="1">
      <c r="B123" s="30"/>
      <c r="D123" s="30"/>
      <c r="F123" s="30"/>
      <c r="H123" s="30"/>
      <c r="J123" s="30"/>
      <c r="L123" s="30"/>
      <c r="N123" s="30"/>
      <c r="W123" s="4"/>
    </row>
    <row r="124" spans="1:23" s="1" customFormat="1">
      <c r="B124" s="30"/>
      <c r="D124" s="30"/>
      <c r="F124" s="30"/>
      <c r="H124" s="30"/>
      <c r="J124" s="30"/>
      <c r="L124" s="30"/>
      <c r="N124" s="30"/>
      <c r="W124" s="4"/>
    </row>
    <row r="125" spans="1:23" s="1" customFormat="1">
      <c r="B125" s="30"/>
      <c r="D125" s="30"/>
      <c r="F125" s="30"/>
      <c r="H125" s="30"/>
      <c r="J125" s="30"/>
      <c r="L125" s="30"/>
      <c r="N125" s="30"/>
      <c r="W125" s="4"/>
    </row>
    <row r="126" spans="1:23" s="1" customFormat="1">
      <c r="B126" s="30"/>
      <c r="D126" s="30"/>
      <c r="F126" s="30"/>
      <c r="H126" s="30"/>
      <c r="J126" s="30"/>
      <c r="L126" s="30"/>
      <c r="N126" s="30"/>
      <c r="W126" s="4"/>
    </row>
    <row r="127" spans="1:23" s="1" customFormat="1">
      <c r="B127" s="30"/>
      <c r="D127" s="30"/>
      <c r="F127" s="30"/>
      <c r="H127" s="30"/>
      <c r="J127" s="30"/>
      <c r="L127" s="30"/>
      <c r="N127" s="30"/>
      <c r="W127" s="4"/>
    </row>
    <row r="128" spans="1:23" s="1" customFormat="1">
      <c r="B128" s="30"/>
      <c r="D128" s="30"/>
      <c r="F128" s="30"/>
      <c r="H128" s="30"/>
      <c r="J128" s="30"/>
      <c r="L128" s="30"/>
      <c r="N128" s="30"/>
      <c r="W128" s="4"/>
    </row>
    <row r="129" spans="2:23" s="1" customFormat="1">
      <c r="B129" s="30"/>
      <c r="D129" s="30"/>
      <c r="F129" s="30"/>
      <c r="H129" s="30"/>
      <c r="J129" s="30"/>
      <c r="L129" s="30"/>
      <c r="N129" s="30"/>
      <c r="W129" s="4"/>
    </row>
    <row r="130" spans="2:23" s="1" customFormat="1">
      <c r="B130" s="30"/>
      <c r="D130" s="30"/>
      <c r="F130" s="30"/>
      <c r="H130" s="30"/>
      <c r="J130" s="30"/>
      <c r="L130" s="30"/>
      <c r="N130" s="30"/>
      <c r="W130" s="4"/>
    </row>
    <row r="131" spans="2:23" s="1" customFormat="1">
      <c r="B131" s="30"/>
      <c r="D131" s="30"/>
      <c r="F131" s="30"/>
      <c r="H131" s="30"/>
      <c r="J131" s="30"/>
      <c r="L131" s="30"/>
      <c r="N131" s="30"/>
      <c r="W131" s="4"/>
    </row>
    <row r="132" spans="2:23" s="1" customFormat="1">
      <c r="B132" s="51"/>
      <c r="D132" s="51"/>
      <c r="F132" s="51"/>
      <c r="H132" s="51"/>
      <c r="J132" s="51"/>
      <c r="L132" s="51"/>
      <c r="N132" s="51"/>
      <c r="W132" s="4"/>
    </row>
    <row r="133" spans="2:23" s="1" customFormat="1">
      <c r="B133" s="51"/>
      <c r="D133" s="51"/>
      <c r="F133" s="51"/>
      <c r="H133" s="51"/>
      <c r="J133" s="51"/>
      <c r="L133" s="51"/>
      <c r="N133" s="51"/>
      <c r="W133" s="4"/>
    </row>
    <row r="134" spans="2:23" s="1" customFormat="1">
      <c r="B134" s="51"/>
      <c r="D134" s="51"/>
      <c r="F134" s="51"/>
      <c r="H134" s="51"/>
      <c r="J134" s="51"/>
      <c r="L134" s="51"/>
      <c r="N134" s="51"/>
      <c r="W134" s="4"/>
    </row>
    <row r="135" spans="2:23" s="1" customFormat="1">
      <c r="B135" s="51"/>
      <c r="D135" s="51"/>
      <c r="F135" s="51"/>
      <c r="H135" s="51"/>
      <c r="J135" s="51"/>
      <c r="L135" s="51"/>
      <c r="N135" s="51"/>
      <c r="W135" s="4"/>
    </row>
    <row r="136" spans="2:23" s="1" customFormat="1">
      <c r="B136" s="51"/>
      <c r="D136" s="51"/>
      <c r="F136" s="51"/>
      <c r="H136" s="51"/>
      <c r="J136" s="51"/>
      <c r="L136" s="51"/>
      <c r="N136" s="51"/>
      <c r="W136" s="4"/>
    </row>
    <row r="137" spans="2:23" s="1" customFormat="1">
      <c r="B137" s="51"/>
      <c r="D137" s="51"/>
      <c r="F137" s="51"/>
      <c r="H137" s="51"/>
      <c r="J137" s="51"/>
      <c r="L137" s="51"/>
      <c r="N137" s="51"/>
      <c r="W137" s="4"/>
    </row>
    <row r="138" spans="2:23" s="1" customFormat="1">
      <c r="B138" s="51"/>
      <c r="D138" s="51"/>
      <c r="F138" s="51"/>
      <c r="H138" s="51"/>
      <c r="J138" s="51"/>
      <c r="L138" s="51"/>
      <c r="N138" s="51"/>
      <c r="W138" s="4"/>
    </row>
    <row r="139" spans="2:23" s="1" customFormat="1">
      <c r="B139" s="51"/>
      <c r="D139" s="51"/>
      <c r="F139" s="51"/>
      <c r="H139" s="51"/>
      <c r="J139" s="51"/>
      <c r="L139" s="51"/>
      <c r="N139" s="51"/>
      <c r="W139" s="4"/>
    </row>
    <row r="140" spans="2:23" s="1" customFormat="1">
      <c r="B140" s="51"/>
      <c r="D140" s="51"/>
      <c r="F140" s="51"/>
      <c r="H140" s="51"/>
      <c r="J140" s="51"/>
      <c r="L140" s="51"/>
      <c r="N140" s="51"/>
      <c r="W140" s="4"/>
    </row>
    <row r="141" spans="2:23" s="1" customFormat="1">
      <c r="B141" s="51"/>
      <c r="D141" s="51"/>
      <c r="F141" s="51"/>
      <c r="H141" s="51"/>
      <c r="J141" s="51"/>
      <c r="L141" s="51"/>
      <c r="N141" s="51"/>
      <c r="W141" s="4"/>
    </row>
    <row r="142" spans="2:23" s="1" customFormat="1">
      <c r="B142" s="51"/>
      <c r="D142" s="51"/>
      <c r="F142" s="51"/>
      <c r="H142" s="51"/>
      <c r="J142" s="51"/>
      <c r="L142" s="51"/>
      <c r="N142" s="51"/>
      <c r="W142" s="4"/>
    </row>
    <row r="143" spans="2:23" s="1" customFormat="1">
      <c r="B143" s="51"/>
      <c r="D143" s="51"/>
      <c r="F143" s="51"/>
      <c r="H143" s="51"/>
      <c r="J143" s="51"/>
      <c r="L143" s="51"/>
      <c r="N143" s="51"/>
      <c r="W143" s="4"/>
    </row>
    <row r="144" spans="2:23" s="1" customFormat="1">
      <c r="B144" s="51"/>
      <c r="D144" s="51"/>
      <c r="F144" s="51"/>
      <c r="H144" s="51"/>
      <c r="J144" s="51"/>
      <c r="L144" s="51"/>
      <c r="N144" s="51"/>
      <c r="W144" s="4"/>
    </row>
    <row r="145" spans="1:23" s="1" customFormat="1">
      <c r="B145" s="51"/>
      <c r="D145" s="51"/>
      <c r="F145" s="51"/>
      <c r="H145" s="51"/>
      <c r="J145" s="51"/>
      <c r="L145" s="51"/>
      <c r="N145" s="51"/>
      <c r="W145" s="4"/>
    </row>
    <row r="146" spans="1:23" s="1" customFormat="1">
      <c r="B146" s="51"/>
      <c r="D146" s="51"/>
      <c r="F146" s="51"/>
      <c r="H146" s="51"/>
      <c r="J146" s="51"/>
      <c r="L146" s="51"/>
      <c r="N146" s="51"/>
      <c r="W146" s="4"/>
    </row>
    <row r="147" spans="1:23" s="1" customFormat="1">
      <c r="B147" s="51"/>
      <c r="D147" s="51"/>
      <c r="F147" s="51"/>
      <c r="H147" s="51"/>
      <c r="J147" s="51"/>
      <c r="L147" s="51"/>
      <c r="N147" s="51"/>
      <c r="W147" s="4"/>
    </row>
    <row r="148" spans="1:23" s="1" customFormat="1">
      <c r="B148" s="51"/>
      <c r="D148" s="51"/>
      <c r="F148" s="51"/>
      <c r="H148" s="51"/>
      <c r="J148" s="51"/>
      <c r="L148" s="51"/>
      <c r="N148" s="51"/>
      <c r="W148" s="4"/>
    </row>
    <row r="149" spans="1:23" s="1" customFormat="1">
      <c r="A149" s="45"/>
      <c r="B149" s="46"/>
      <c r="C149" s="46"/>
      <c r="D149" s="47"/>
      <c r="F149" s="48"/>
      <c r="G149" s="47"/>
      <c r="I149" s="50"/>
      <c r="J149" s="49"/>
      <c r="K149" s="52"/>
      <c r="L149" s="50"/>
      <c r="M149" s="50"/>
      <c r="N149" s="51"/>
      <c r="W149" s="4"/>
    </row>
    <row r="150" spans="1:23" s="1" customFormat="1">
      <c r="A150" s="45"/>
      <c r="B150" s="46"/>
      <c r="C150" s="46"/>
      <c r="D150" s="47"/>
      <c r="F150" s="48"/>
      <c r="G150" s="47"/>
      <c r="I150" s="50"/>
      <c r="J150" s="49"/>
      <c r="K150" s="52"/>
      <c r="L150" s="50"/>
      <c r="M150" s="50"/>
      <c r="N150" s="51"/>
      <c r="W150" s="4"/>
    </row>
    <row r="151" spans="1:23" s="1" customFormat="1">
      <c r="A151" s="45"/>
      <c r="B151" s="46"/>
      <c r="C151" s="46"/>
      <c r="D151" s="47"/>
      <c r="F151" s="48"/>
      <c r="G151" s="47"/>
      <c r="I151" s="50"/>
      <c r="J151" s="49"/>
      <c r="K151" s="52"/>
      <c r="L151" s="50"/>
      <c r="M151" s="50"/>
      <c r="N151" s="51"/>
      <c r="W151" s="4"/>
    </row>
    <row r="152" spans="1:23" s="1" customFormat="1">
      <c r="A152" s="45"/>
      <c r="B152" s="46"/>
      <c r="C152" s="46"/>
      <c r="D152" s="47"/>
      <c r="F152" s="48"/>
      <c r="G152" s="47"/>
      <c r="I152" s="50"/>
      <c r="J152" s="49"/>
      <c r="K152" s="52"/>
      <c r="L152" s="50"/>
      <c r="M152" s="50"/>
      <c r="N152" s="51"/>
      <c r="W152" s="4"/>
    </row>
    <row r="153" spans="1:23" s="1" customFormat="1">
      <c r="A153" s="45"/>
      <c r="B153" s="46"/>
      <c r="C153" s="46"/>
      <c r="D153" s="47"/>
      <c r="F153" s="48"/>
      <c r="G153" s="47"/>
      <c r="I153" s="50"/>
      <c r="J153" s="49"/>
      <c r="K153" s="52"/>
      <c r="L153" s="50"/>
      <c r="M153" s="50"/>
      <c r="N153" s="51"/>
      <c r="W153" s="4"/>
    </row>
    <row r="154" spans="1:23" s="1" customFormat="1">
      <c r="A154" s="45"/>
      <c r="B154" s="46"/>
      <c r="C154" s="46"/>
      <c r="D154" s="47"/>
      <c r="F154" s="48"/>
      <c r="G154" s="47"/>
      <c r="I154" s="50"/>
      <c r="J154" s="49"/>
      <c r="K154" s="52"/>
      <c r="L154" s="50"/>
      <c r="M154" s="50"/>
      <c r="N154" s="51"/>
      <c r="W154" s="4"/>
    </row>
    <row r="155" spans="1:23" s="1" customFormat="1">
      <c r="A155" s="45"/>
      <c r="B155" s="46"/>
      <c r="C155" s="46"/>
      <c r="D155" s="47"/>
      <c r="F155" s="48"/>
      <c r="G155" s="47"/>
      <c r="I155" s="50"/>
      <c r="J155" s="49"/>
      <c r="K155" s="52"/>
      <c r="L155" s="50"/>
      <c r="M155" s="50"/>
      <c r="N155" s="51"/>
      <c r="W155" s="4"/>
    </row>
    <row r="156" spans="1:23" s="1" customFormat="1">
      <c r="A156" s="45"/>
      <c r="B156" s="46"/>
      <c r="C156" s="46"/>
      <c r="D156" s="47"/>
      <c r="F156" s="48"/>
      <c r="G156" s="47"/>
      <c r="I156" s="50"/>
      <c r="J156" s="49"/>
      <c r="K156" s="52"/>
      <c r="L156" s="50"/>
      <c r="M156" s="50"/>
      <c r="N156" s="51"/>
      <c r="W156" s="4"/>
    </row>
    <row r="157" spans="1:23" s="1" customFormat="1">
      <c r="A157" s="45"/>
      <c r="B157" s="46"/>
      <c r="C157" s="46"/>
      <c r="D157" s="47"/>
      <c r="F157" s="48"/>
      <c r="G157" s="47"/>
      <c r="I157" s="50"/>
      <c r="J157" s="49"/>
      <c r="K157" s="52"/>
      <c r="L157" s="50"/>
      <c r="M157" s="50"/>
      <c r="N157" s="51"/>
      <c r="W157" s="4"/>
    </row>
    <row r="158" spans="1:23" s="1" customFormat="1">
      <c r="A158" s="45"/>
      <c r="B158" s="46"/>
      <c r="C158" s="46"/>
      <c r="D158" s="47"/>
      <c r="F158" s="48"/>
      <c r="G158" s="47"/>
      <c r="I158" s="50"/>
      <c r="J158" s="49"/>
      <c r="K158" s="52"/>
      <c r="L158" s="50"/>
      <c r="M158" s="50"/>
      <c r="N158" s="51"/>
      <c r="W158" s="4"/>
    </row>
    <row r="159" spans="1:23" s="1" customFormat="1">
      <c r="A159" s="45"/>
      <c r="B159" s="46"/>
      <c r="C159" s="46"/>
      <c r="D159" s="47"/>
      <c r="F159" s="48"/>
      <c r="G159" s="47"/>
      <c r="I159" s="50"/>
      <c r="J159" s="49"/>
      <c r="K159" s="52"/>
      <c r="L159" s="50"/>
      <c r="M159" s="50"/>
      <c r="N159" s="51"/>
      <c r="W159" s="4"/>
    </row>
    <row r="160" spans="1:23" s="1" customFormat="1">
      <c r="A160" s="45"/>
      <c r="B160" s="46"/>
      <c r="C160" s="46"/>
      <c r="D160" s="47"/>
      <c r="F160" s="48"/>
      <c r="G160" s="47"/>
      <c r="I160" s="50"/>
      <c r="J160" s="49"/>
      <c r="K160" s="52"/>
      <c r="L160" s="50"/>
      <c r="M160" s="50"/>
      <c r="N160" s="51"/>
      <c r="W160" s="4"/>
    </row>
    <row r="161" spans="1:23" s="1" customFormat="1">
      <c r="A161" s="45"/>
      <c r="B161" s="46"/>
      <c r="C161" s="46"/>
      <c r="D161" s="47"/>
      <c r="F161" s="48"/>
      <c r="G161" s="47"/>
      <c r="I161" s="50"/>
      <c r="J161" s="49"/>
      <c r="K161" s="52"/>
      <c r="L161" s="50"/>
      <c r="M161" s="50"/>
      <c r="N161" s="51"/>
      <c r="W161" s="4"/>
    </row>
    <row r="162" spans="1:23" s="1" customFormat="1">
      <c r="A162" s="45"/>
      <c r="B162" s="46"/>
      <c r="C162" s="46"/>
      <c r="D162" s="47"/>
      <c r="F162" s="48"/>
      <c r="G162" s="47"/>
      <c r="I162" s="50"/>
      <c r="J162" s="49"/>
      <c r="K162" s="52"/>
      <c r="L162" s="50"/>
      <c r="M162" s="50"/>
      <c r="N162" s="51"/>
      <c r="W162" s="4"/>
    </row>
    <row r="163" spans="1:23" s="1" customFormat="1">
      <c r="A163" s="45"/>
      <c r="B163" s="46"/>
      <c r="C163" s="46"/>
      <c r="D163" s="47"/>
      <c r="F163" s="48"/>
      <c r="G163" s="47"/>
      <c r="I163" s="50"/>
      <c r="J163" s="49"/>
      <c r="K163" s="52"/>
      <c r="L163" s="50"/>
      <c r="M163" s="50"/>
      <c r="N163" s="51"/>
      <c r="W163" s="4"/>
    </row>
    <row r="164" spans="1:23" s="1" customFormat="1">
      <c r="A164" s="45"/>
      <c r="B164" s="46"/>
      <c r="C164" s="46"/>
      <c r="D164" s="47"/>
      <c r="F164" s="48"/>
      <c r="G164" s="47"/>
      <c r="I164" s="50"/>
      <c r="J164" s="49"/>
      <c r="K164" s="52"/>
      <c r="L164" s="50"/>
      <c r="M164" s="50"/>
      <c r="N164" s="51"/>
      <c r="W164" s="4"/>
    </row>
    <row r="165" spans="1:23" s="1" customFormat="1">
      <c r="A165" s="45"/>
      <c r="B165" s="46"/>
      <c r="C165" s="46"/>
      <c r="D165" s="47"/>
      <c r="F165" s="48"/>
      <c r="G165" s="47"/>
      <c r="I165" s="50"/>
      <c r="J165" s="49"/>
      <c r="K165" s="52"/>
      <c r="L165" s="50"/>
      <c r="M165" s="50"/>
      <c r="N165" s="51"/>
      <c r="W165" s="4"/>
    </row>
    <row r="166" spans="1:23" s="1" customFormat="1">
      <c r="A166" s="45"/>
      <c r="B166" s="46"/>
      <c r="C166" s="46"/>
      <c r="D166" s="47"/>
      <c r="F166" s="48"/>
      <c r="G166" s="47"/>
      <c r="I166" s="50"/>
      <c r="J166" s="49"/>
      <c r="K166" s="52"/>
      <c r="L166" s="50"/>
      <c r="M166" s="50"/>
      <c r="N166" s="51"/>
      <c r="W166" s="4"/>
    </row>
    <row r="167" spans="1:23" s="1" customFormat="1">
      <c r="A167" s="45"/>
      <c r="B167" s="46"/>
      <c r="C167" s="46"/>
      <c r="D167" s="47"/>
      <c r="F167" s="48"/>
      <c r="G167" s="47"/>
      <c r="I167" s="50"/>
      <c r="J167" s="49"/>
      <c r="K167" s="52"/>
      <c r="L167" s="50"/>
      <c r="M167" s="50"/>
      <c r="N167" s="51"/>
      <c r="W167" s="4"/>
    </row>
    <row r="168" spans="1:23" s="1" customFormat="1">
      <c r="A168" s="45"/>
      <c r="B168" s="46"/>
      <c r="C168" s="46"/>
      <c r="D168" s="47"/>
      <c r="F168" s="48"/>
      <c r="G168" s="47"/>
      <c r="I168" s="50"/>
      <c r="J168" s="49"/>
      <c r="K168" s="52"/>
      <c r="L168" s="50"/>
      <c r="M168" s="50"/>
      <c r="N168" s="51"/>
      <c r="W168" s="4"/>
    </row>
    <row r="169" spans="1:23" s="1" customFormat="1">
      <c r="A169" s="45"/>
      <c r="B169" s="46"/>
      <c r="C169" s="46"/>
      <c r="D169" s="47"/>
      <c r="F169" s="48"/>
      <c r="G169" s="47"/>
      <c r="I169" s="50"/>
      <c r="J169" s="49"/>
      <c r="K169" s="52"/>
      <c r="L169" s="50"/>
      <c r="M169" s="50"/>
      <c r="N169" s="51"/>
      <c r="W169" s="4"/>
    </row>
    <row r="170" spans="1:23" s="1" customFormat="1">
      <c r="A170" s="45"/>
      <c r="B170" s="46"/>
      <c r="C170" s="46"/>
      <c r="D170" s="47"/>
      <c r="F170" s="48"/>
      <c r="G170" s="47"/>
      <c r="I170" s="50"/>
      <c r="J170" s="49"/>
      <c r="K170" s="52"/>
      <c r="L170" s="50"/>
      <c r="M170" s="50"/>
      <c r="N170" s="51"/>
      <c r="W170" s="4"/>
    </row>
    <row r="171" spans="1:23" s="1" customFormat="1">
      <c r="A171" s="45"/>
      <c r="B171" s="46"/>
      <c r="C171" s="46"/>
      <c r="D171" s="47"/>
      <c r="F171" s="48"/>
      <c r="G171" s="47"/>
      <c r="I171" s="50"/>
      <c r="J171" s="49"/>
      <c r="K171" s="52"/>
      <c r="L171" s="50"/>
      <c r="M171" s="50"/>
      <c r="N171" s="51"/>
      <c r="W171" s="4"/>
    </row>
    <row r="172" spans="1:23" s="1" customFormat="1">
      <c r="A172" s="45"/>
      <c r="B172" s="46"/>
      <c r="C172" s="46"/>
      <c r="D172" s="47"/>
      <c r="F172" s="48"/>
      <c r="G172" s="47"/>
      <c r="I172" s="50"/>
      <c r="J172" s="49"/>
      <c r="K172" s="52"/>
      <c r="L172" s="50"/>
      <c r="M172" s="50"/>
      <c r="N172" s="51"/>
      <c r="W172" s="4"/>
    </row>
    <row r="173" spans="1:23" s="1" customFormat="1">
      <c r="A173" s="45"/>
      <c r="B173" s="46"/>
      <c r="C173" s="46"/>
      <c r="D173" s="47"/>
      <c r="F173" s="48"/>
      <c r="G173" s="47"/>
      <c r="I173" s="50"/>
      <c r="J173" s="49"/>
      <c r="K173" s="52"/>
      <c r="L173" s="50"/>
      <c r="M173" s="50"/>
      <c r="N173" s="51"/>
      <c r="W173" s="4"/>
    </row>
    <row r="174" spans="1:23" s="1" customFormat="1">
      <c r="A174" s="45"/>
      <c r="B174" s="46"/>
      <c r="C174" s="46"/>
      <c r="D174" s="47"/>
      <c r="F174" s="48"/>
      <c r="G174" s="47"/>
      <c r="I174" s="50"/>
      <c r="J174" s="49"/>
      <c r="K174" s="52"/>
      <c r="L174" s="50"/>
      <c r="M174" s="50"/>
      <c r="N174" s="51"/>
      <c r="W174" s="4"/>
    </row>
    <row r="175" spans="1:23" s="1" customFormat="1">
      <c r="A175" s="45"/>
      <c r="B175" s="46"/>
      <c r="C175" s="46"/>
      <c r="D175" s="47"/>
      <c r="F175" s="48"/>
      <c r="G175" s="47"/>
      <c r="I175" s="50"/>
      <c r="J175" s="49"/>
      <c r="K175" s="52"/>
      <c r="L175" s="50"/>
      <c r="M175" s="50"/>
      <c r="N175" s="51"/>
      <c r="W175" s="4">
        <f t="shared" ref="W175:W200" si="30">IF($S$4&gt;=B175,1,0)</f>
        <v>1</v>
      </c>
    </row>
    <row r="176" spans="1:23" s="1" customFormat="1">
      <c r="A176" s="45"/>
      <c r="B176" s="46"/>
      <c r="C176" s="46"/>
      <c r="D176" s="47"/>
      <c r="F176" s="48"/>
      <c r="G176" s="47"/>
      <c r="I176" s="50"/>
      <c r="J176" s="49"/>
      <c r="K176" s="52"/>
      <c r="L176" s="50"/>
      <c r="M176" s="50"/>
      <c r="N176" s="51"/>
      <c r="W176" s="4">
        <f t="shared" si="30"/>
        <v>1</v>
      </c>
    </row>
    <row r="177" spans="1:23" s="1" customFormat="1">
      <c r="A177" s="45"/>
      <c r="B177" s="46"/>
      <c r="C177" s="46"/>
      <c r="D177" s="47"/>
      <c r="F177" s="48"/>
      <c r="G177" s="47"/>
      <c r="I177" s="50"/>
      <c r="J177" s="49"/>
      <c r="K177" s="52"/>
      <c r="L177" s="50"/>
      <c r="M177" s="50"/>
      <c r="N177" s="51"/>
      <c r="W177" s="4">
        <f t="shared" si="30"/>
        <v>1</v>
      </c>
    </row>
    <row r="178" spans="1:23" s="1" customFormat="1">
      <c r="A178" s="45"/>
      <c r="B178" s="46"/>
      <c r="C178" s="46"/>
      <c r="D178" s="47"/>
      <c r="F178" s="48"/>
      <c r="G178" s="47"/>
      <c r="I178" s="50"/>
      <c r="J178" s="49"/>
      <c r="K178" s="52"/>
      <c r="L178" s="50"/>
      <c r="M178" s="50"/>
      <c r="N178" s="51"/>
      <c r="W178" s="4">
        <f t="shared" si="30"/>
        <v>1</v>
      </c>
    </row>
    <row r="179" spans="1:23" s="1" customFormat="1">
      <c r="A179" s="45"/>
      <c r="B179" s="46"/>
      <c r="C179" s="46"/>
      <c r="D179" s="47"/>
      <c r="F179" s="48"/>
      <c r="G179" s="47"/>
      <c r="I179" s="50"/>
      <c r="J179" s="49"/>
      <c r="K179" s="52"/>
      <c r="L179" s="50"/>
      <c r="M179" s="50"/>
      <c r="N179" s="51"/>
      <c r="W179" s="4">
        <f t="shared" si="30"/>
        <v>1</v>
      </c>
    </row>
    <row r="180" spans="1:23" s="1" customFormat="1">
      <c r="A180" s="45"/>
      <c r="B180" s="46"/>
      <c r="C180" s="46"/>
      <c r="D180" s="47"/>
      <c r="F180" s="48"/>
      <c r="G180" s="47"/>
      <c r="I180" s="50"/>
      <c r="J180" s="49"/>
      <c r="K180" s="52"/>
      <c r="L180" s="50"/>
      <c r="M180" s="50"/>
      <c r="N180" s="51"/>
      <c r="W180" s="4">
        <f t="shared" si="30"/>
        <v>1</v>
      </c>
    </row>
    <row r="181" spans="1:23" s="1" customFormat="1">
      <c r="A181" s="45"/>
      <c r="B181" s="46"/>
      <c r="C181" s="46"/>
      <c r="D181" s="47"/>
      <c r="F181" s="48"/>
      <c r="G181" s="47"/>
      <c r="I181" s="50"/>
      <c r="J181" s="49"/>
      <c r="K181" s="52"/>
      <c r="L181" s="50"/>
      <c r="M181" s="50"/>
      <c r="N181" s="51"/>
      <c r="W181" s="4">
        <f t="shared" si="30"/>
        <v>1</v>
      </c>
    </row>
    <row r="182" spans="1:23" s="1" customFormat="1">
      <c r="A182" s="45"/>
      <c r="B182" s="46"/>
      <c r="C182" s="46"/>
      <c r="D182" s="47"/>
      <c r="F182" s="48"/>
      <c r="G182" s="47"/>
      <c r="I182" s="50"/>
      <c r="J182" s="49"/>
      <c r="K182" s="52"/>
      <c r="L182" s="50"/>
      <c r="M182" s="50"/>
      <c r="N182" s="51"/>
      <c r="W182" s="4">
        <f t="shared" si="30"/>
        <v>1</v>
      </c>
    </row>
    <row r="183" spans="1:23" s="1" customFormat="1">
      <c r="A183" s="45"/>
      <c r="B183" s="46"/>
      <c r="C183" s="46"/>
      <c r="D183" s="47"/>
      <c r="F183" s="48"/>
      <c r="G183" s="47"/>
      <c r="I183" s="50"/>
      <c r="J183" s="49"/>
      <c r="K183" s="52"/>
      <c r="L183" s="50"/>
      <c r="M183" s="50"/>
      <c r="N183" s="51"/>
      <c r="W183" s="4">
        <f t="shared" si="30"/>
        <v>1</v>
      </c>
    </row>
    <row r="184" spans="1:23" s="1" customFormat="1">
      <c r="A184" s="45"/>
      <c r="B184" s="46"/>
      <c r="C184" s="46"/>
      <c r="D184" s="47"/>
      <c r="F184" s="48"/>
      <c r="G184" s="47"/>
      <c r="I184" s="50"/>
      <c r="J184" s="49"/>
      <c r="K184" s="52"/>
      <c r="L184" s="50"/>
      <c r="M184" s="50"/>
      <c r="N184" s="51"/>
      <c r="W184" s="4">
        <f t="shared" si="30"/>
        <v>1</v>
      </c>
    </row>
    <row r="185" spans="1:23" s="1" customFormat="1">
      <c r="A185" s="45"/>
      <c r="B185" s="46"/>
      <c r="C185" s="46"/>
      <c r="D185" s="47"/>
      <c r="F185" s="48"/>
      <c r="G185" s="47"/>
      <c r="I185" s="50"/>
      <c r="J185" s="49"/>
      <c r="K185" s="52"/>
      <c r="L185" s="50"/>
      <c r="M185" s="50"/>
      <c r="N185" s="51"/>
      <c r="W185" s="4">
        <f t="shared" si="30"/>
        <v>1</v>
      </c>
    </row>
    <row r="186" spans="1:23" s="1" customFormat="1">
      <c r="A186" s="45"/>
      <c r="B186" s="46"/>
      <c r="C186" s="46"/>
      <c r="D186" s="47"/>
      <c r="F186" s="48"/>
      <c r="G186" s="47"/>
      <c r="I186" s="50"/>
      <c r="J186" s="49"/>
      <c r="K186" s="52"/>
      <c r="L186" s="50"/>
      <c r="M186" s="50"/>
      <c r="N186" s="51"/>
      <c r="W186" s="4">
        <f t="shared" si="30"/>
        <v>1</v>
      </c>
    </row>
    <row r="187" spans="1:23" s="1" customFormat="1">
      <c r="A187" s="45"/>
      <c r="B187" s="46"/>
      <c r="C187" s="46"/>
      <c r="D187" s="47"/>
      <c r="F187" s="48"/>
      <c r="G187" s="47"/>
      <c r="I187" s="50"/>
      <c r="J187" s="49"/>
      <c r="K187" s="52"/>
      <c r="L187" s="50"/>
      <c r="M187" s="50"/>
      <c r="N187" s="51"/>
      <c r="W187" s="4">
        <f t="shared" si="30"/>
        <v>1</v>
      </c>
    </row>
    <row r="188" spans="1:23" s="1" customFormat="1">
      <c r="A188" s="45"/>
      <c r="B188" s="46"/>
      <c r="C188" s="46"/>
      <c r="D188" s="47"/>
      <c r="F188" s="48"/>
      <c r="G188" s="47"/>
      <c r="I188" s="50"/>
      <c r="J188" s="49"/>
      <c r="K188" s="52"/>
      <c r="L188" s="50"/>
      <c r="M188" s="50"/>
      <c r="N188" s="51"/>
      <c r="W188" s="4">
        <f t="shared" si="30"/>
        <v>1</v>
      </c>
    </row>
    <row r="189" spans="1:23" s="1" customFormat="1">
      <c r="A189" s="45"/>
      <c r="B189" s="46"/>
      <c r="C189" s="46"/>
      <c r="D189" s="47"/>
      <c r="F189" s="48"/>
      <c r="G189" s="47"/>
      <c r="I189" s="50"/>
      <c r="J189" s="49"/>
      <c r="K189" s="52"/>
      <c r="L189" s="50"/>
      <c r="M189" s="50"/>
      <c r="N189" s="51"/>
      <c r="W189" s="4">
        <f t="shared" si="30"/>
        <v>1</v>
      </c>
    </row>
    <row r="190" spans="1:23" s="1" customFormat="1">
      <c r="A190" s="45"/>
      <c r="B190" s="46"/>
      <c r="C190" s="46"/>
      <c r="D190" s="47"/>
      <c r="F190" s="48"/>
      <c r="G190" s="47"/>
      <c r="I190" s="50"/>
      <c r="J190" s="49"/>
      <c r="K190" s="52"/>
      <c r="L190" s="50"/>
      <c r="M190" s="50"/>
      <c r="N190" s="51"/>
      <c r="W190" s="4">
        <f t="shared" si="30"/>
        <v>1</v>
      </c>
    </row>
    <row r="191" spans="1:23" s="1" customFormat="1">
      <c r="A191" s="45"/>
      <c r="B191" s="46"/>
      <c r="C191" s="46"/>
      <c r="D191" s="47"/>
      <c r="F191" s="48"/>
      <c r="G191" s="47"/>
      <c r="I191" s="50"/>
      <c r="J191" s="49"/>
      <c r="K191" s="52"/>
      <c r="L191" s="50"/>
      <c r="M191" s="50"/>
      <c r="N191" s="51"/>
      <c r="W191" s="4">
        <f t="shared" si="30"/>
        <v>1</v>
      </c>
    </row>
    <row r="192" spans="1:23" s="1" customFormat="1">
      <c r="A192" s="45"/>
      <c r="B192" s="46"/>
      <c r="C192" s="46"/>
      <c r="D192" s="47"/>
      <c r="F192" s="48"/>
      <c r="G192" s="47"/>
      <c r="I192" s="50"/>
      <c r="J192" s="49"/>
      <c r="K192" s="52"/>
      <c r="L192" s="50"/>
      <c r="M192" s="50"/>
      <c r="N192" s="51"/>
      <c r="W192" s="4">
        <f t="shared" si="30"/>
        <v>1</v>
      </c>
    </row>
    <row r="193" spans="1:23" s="1" customFormat="1">
      <c r="A193" s="45"/>
      <c r="B193" s="46"/>
      <c r="C193" s="46"/>
      <c r="D193" s="47"/>
      <c r="F193" s="48"/>
      <c r="G193" s="47"/>
      <c r="I193" s="50"/>
      <c r="J193" s="49"/>
      <c r="K193" s="52"/>
      <c r="L193" s="50"/>
      <c r="M193" s="50"/>
      <c r="N193" s="51"/>
      <c r="W193" s="4">
        <f t="shared" si="30"/>
        <v>1</v>
      </c>
    </row>
    <row r="194" spans="1:23" s="1" customFormat="1">
      <c r="A194" s="45"/>
      <c r="B194" s="46"/>
      <c r="C194" s="46"/>
      <c r="D194" s="47"/>
      <c r="F194" s="48"/>
      <c r="G194" s="47"/>
      <c r="I194" s="50"/>
      <c r="J194" s="49"/>
      <c r="K194" s="52"/>
      <c r="L194" s="50"/>
      <c r="M194" s="50"/>
      <c r="N194" s="51"/>
      <c r="W194" s="4">
        <f t="shared" si="30"/>
        <v>1</v>
      </c>
    </row>
    <row r="195" spans="1:23" s="1" customFormat="1">
      <c r="A195" s="45"/>
      <c r="B195" s="46"/>
      <c r="C195" s="46"/>
      <c r="D195" s="47"/>
      <c r="F195" s="48"/>
      <c r="G195" s="47"/>
      <c r="I195" s="50"/>
      <c r="J195" s="49"/>
      <c r="K195" s="52"/>
      <c r="L195" s="50"/>
      <c r="M195" s="50"/>
      <c r="N195" s="51"/>
      <c r="W195" s="4">
        <f t="shared" si="30"/>
        <v>1</v>
      </c>
    </row>
    <row r="196" spans="1:23" s="1" customFormat="1">
      <c r="A196" s="45"/>
      <c r="B196" s="46"/>
      <c r="C196" s="46"/>
      <c r="D196" s="47"/>
      <c r="F196" s="48"/>
      <c r="G196" s="47"/>
      <c r="I196" s="50"/>
      <c r="J196" s="49"/>
      <c r="K196" s="52"/>
      <c r="L196" s="50"/>
      <c r="M196" s="50"/>
      <c r="N196" s="51"/>
      <c r="W196" s="4">
        <f t="shared" si="30"/>
        <v>1</v>
      </c>
    </row>
    <row r="197" spans="1:23" s="1" customFormat="1">
      <c r="A197" s="45"/>
      <c r="B197" s="46"/>
      <c r="C197" s="46"/>
      <c r="D197" s="47"/>
      <c r="F197" s="48"/>
      <c r="G197" s="47"/>
      <c r="I197" s="50"/>
      <c r="J197" s="49"/>
      <c r="K197" s="52"/>
      <c r="L197" s="50"/>
      <c r="M197" s="50"/>
      <c r="N197" s="51"/>
      <c r="W197" s="4">
        <f t="shared" si="30"/>
        <v>1</v>
      </c>
    </row>
    <row r="198" spans="1:23" s="1" customFormat="1">
      <c r="A198" s="45"/>
      <c r="B198" s="46"/>
      <c r="C198" s="46"/>
      <c r="D198" s="47"/>
      <c r="F198" s="48"/>
      <c r="G198" s="47"/>
      <c r="I198" s="50"/>
      <c r="J198" s="49"/>
      <c r="K198" s="52"/>
      <c r="L198" s="50"/>
      <c r="M198" s="50"/>
      <c r="N198" s="51"/>
      <c r="W198" s="4">
        <f t="shared" si="30"/>
        <v>1</v>
      </c>
    </row>
    <row r="199" spans="1:23" s="1" customFormat="1">
      <c r="A199" s="45"/>
      <c r="B199" s="46"/>
      <c r="C199" s="46"/>
      <c r="D199" s="47"/>
      <c r="F199" s="48"/>
      <c r="G199" s="47"/>
      <c r="I199" s="50"/>
      <c r="J199" s="49"/>
      <c r="K199" s="52"/>
      <c r="L199" s="50"/>
      <c r="M199" s="50"/>
      <c r="N199" s="51"/>
      <c r="W199" s="4">
        <f t="shared" si="30"/>
        <v>1</v>
      </c>
    </row>
    <row r="200" spans="1:23" s="1" customFormat="1">
      <c r="A200" s="45"/>
      <c r="B200" s="46"/>
      <c r="C200" s="46"/>
      <c r="D200" s="47"/>
      <c r="F200" s="48"/>
      <c r="G200" s="47"/>
      <c r="I200" s="50"/>
      <c r="J200" s="49"/>
      <c r="K200" s="52"/>
      <c r="L200" s="50"/>
      <c r="M200" s="50"/>
      <c r="N200" s="51"/>
      <c r="W200" s="4">
        <f t="shared" si="30"/>
        <v>1</v>
      </c>
    </row>
    <row r="201" spans="1:23" s="1" customFormat="1">
      <c r="A201" s="45"/>
      <c r="B201" s="46"/>
      <c r="C201" s="46"/>
      <c r="D201" s="47"/>
      <c r="F201" s="48"/>
      <c r="G201" s="47"/>
      <c r="I201" s="50"/>
      <c r="J201" s="49"/>
      <c r="K201" s="52"/>
      <c r="L201" s="50"/>
      <c r="M201" s="50"/>
      <c r="N201" s="51"/>
      <c r="W201" s="4">
        <f t="shared" ref="W201:W224" si="31">IF($S$4&gt;=B201,1,0)</f>
        <v>1</v>
      </c>
    </row>
    <row r="202" spans="1:23" s="1" customFormat="1">
      <c r="A202" s="45"/>
      <c r="B202" s="46"/>
      <c r="C202" s="46"/>
      <c r="D202" s="47"/>
      <c r="F202" s="48"/>
      <c r="G202" s="47"/>
      <c r="I202" s="50"/>
      <c r="J202" s="49"/>
      <c r="K202" s="52"/>
      <c r="L202" s="50"/>
      <c r="M202" s="50"/>
      <c r="N202" s="51"/>
      <c r="W202" s="4">
        <f t="shared" si="31"/>
        <v>1</v>
      </c>
    </row>
    <row r="203" spans="1:23" s="1" customFormat="1">
      <c r="A203" s="45"/>
      <c r="B203" s="46"/>
      <c r="C203" s="46"/>
      <c r="D203" s="47"/>
      <c r="F203" s="48"/>
      <c r="G203" s="47"/>
      <c r="I203" s="50"/>
      <c r="J203" s="49"/>
      <c r="K203" s="52"/>
      <c r="L203" s="50"/>
      <c r="M203" s="50"/>
      <c r="N203" s="51"/>
      <c r="W203" s="4">
        <f t="shared" si="31"/>
        <v>1</v>
      </c>
    </row>
    <row r="204" spans="1:23" s="1" customFormat="1">
      <c r="A204" s="45"/>
      <c r="B204" s="46"/>
      <c r="C204" s="46"/>
      <c r="D204" s="47"/>
      <c r="F204" s="48"/>
      <c r="G204" s="47"/>
      <c r="I204" s="50"/>
      <c r="J204" s="49"/>
      <c r="K204" s="52"/>
      <c r="L204" s="50"/>
      <c r="M204" s="50"/>
      <c r="N204" s="51"/>
      <c r="W204" s="4">
        <f t="shared" si="31"/>
        <v>1</v>
      </c>
    </row>
    <row r="205" spans="1:23" s="1" customFormat="1">
      <c r="A205" s="45"/>
      <c r="B205" s="46"/>
      <c r="C205" s="46"/>
      <c r="D205" s="47"/>
      <c r="F205" s="48"/>
      <c r="G205" s="47"/>
      <c r="I205" s="50"/>
      <c r="J205" s="49"/>
      <c r="K205" s="52"/>
      <c r="L205" s="50"/>
      <c r="M205" s="50"/>
      <c r="N205" s="51"/>
      <c r="W205" s="4">
        <f t="shared" si="31"/>
        <v>1</v>
      </c>
    </row>
    <row r="206" spans="1:23" s="1" customFormat="1">
      <c r="A206" s="45"/>
      <c r="B206" s="46"/>
      <c r="C206" s="46"/>
      <c r="D206" s="47"/>
      <c r="F206" s="48"/>
      <c r="G206" s="47"/>
      <c r="I206" s="50"/>
      <c r="J206" s="49"/>
      <c r="K206" s="52"/>
      <c r="L206" s="50"/>
      <c r="M206" s="50"/>
      <c r="N206" s="51"/>
      <c r="W206" s="4">
        <f t="shared" si="31"/>
        <v>1</v>
      </c>
    </row>
    <row r="207" spans="1:23" s="1" customFormat="1">
      <c r="A207" s="45"/>
      <c r="B207" s="46"/>
      <c r="C207" s="46"/>
      <c r="D207" s="47"/>
      <c r="F207" s="48"/>
      <c r="G207" s="47"/>
      <c r="I207" s="50"/>
      <c r="J207" s="49"/>
      <c r="K207" s="52"/>
      <c r="L207" s="50"/>
      <c r="M207" s="50"/>
      <c r="N207" s="51"/>
      <c r="W207" s="4">
        <f t="shared" si="31"/>
        <v>1</v>
      </c>
    </row>
    <row r="208" spans="1:23" s="1" customFormat="1">
      <c r="A208" s="45"/>
      <c r="B208" s="46"/>
      <c r="C208" s="46"/>
      <c r="D208" s="47"/>
      <c r="F208" s="48"/>
      <c r="G208" s="47"/>
      <c r="I208" s="50"/>
      <c r="J208" s="49"/>
      <c r="K208" s="52"/>
      <c r="L208" s="50"/>
      <c r="M208" s="50"/>
      <c r="N208" s="51"/>
      <c r="W208" s="4">
        <f t="shared" si="31"/>
        <v>1</v>
      </c>
    </row>
    <row r="209" spans="1:23" s="1" customFormat="1">
      <c r="A209" s="45"/>
      <c r="B209" s="46"/>
      <c r="C209" s="46"/>
      <c r="D209" s="47"/>
      <c r="F209" s="48"/>
      <c r="G209" s="47"/>
      <c r="I209" s="50"/>
      <c r="J209" s="49"/>
      <c r="K209" s="52"/>
      <c r="L209" s="50"/>
      <c r="M209" s="50"/>
      <c r="N209" s="51"/>
      <c r="W209" s="4">
        <f t="shared" si="31"/>
        <v>1</v>
      </c>
    </row>
    <row r="210" spans="1:23" s="1" customFormat="1">
      <c r="A210" s="45"/>
      <c r="B210" s="46"/>
      <c r="C210" s="46"/>
      <c r="D210" s="47"/>
      <c r="F210" s="48"/>
      <c r="G210" s="47"/>
      <c r="I210" s="50"/>
      <c r="J210" s="49"/>
      <c r="K210" s="52"/>
      <c r="L210" s="50"/>
      <c r="M210" s="50"/>
      <c r="N210" s="51"/>
      <c r="W210" s="4">
        <f t="shared" si="31"/>
        <v>1</v>
      </c>
    </row>
    <row r="211" spans="1:23" s="1" customFormat="1">
      <c r="A211" s="45"/>
      <c r="B211" s="46"/>
      <c r="C211" s="46"/>
      <c r="D211" s="47"/>
      <c r="F211" s="48"/>
      <c r="G211" s="47"/>
      <c r="I211" s="50"/>
      <c r="J211" s="49"/>
      <c r="K211" s="52"/>
      <c r="L211" s="50"/>
      <c r="M211" s="50"/>
      <c r="N211" s="51"/>
      <c r="W211" s="4">
        <f t="shared" si="31"/>
        <v>1</v>
      </c>
    </row>
    <row r="212" spans="1:23" s="1" customFormat="1">
      <c r="A212" s="45"/>
      <c r="B212" s="46"/>
      <c r="C212" s="46"/>
      <c r="D212" s="47"/>
      <c r="F212" s="48"/>
      <c r="G212" s="47"/>
      <c r="I212" s="50"/>
      <c r="J212" s="49"/>
      <c r="K212" s="52"/>
      <c r="L212" s="50"/>
      <c r="M212" s="50"/>
      <c r="N212" s="51"/>
      <c r="W212" s="4">
        <f t="shared" si="31"/>
        <v>1</v>
      </c>
    </row>
    <row r="213" spans="1:23" s="1" customFormat="1">
      <c r="A213" s="45"/>
      <c r="B213" s="46"/>
      <c r="C213" s="46"/>
      <c r="D213" s="47"/>
      <c r="F213" s="48"/>
      <c r="G213" s="47"/>
      <c r="I213" s="50"/>
      <c r="J213" s="49"/>
      <c r="K213" s="52"/>
      <c r="L213" s="50"/>
      <c r="M213" s="50"/>
      <c r="N213" s="51"/>
      <c r="W213" s="4">
        <f t="shared" si="31"/>
        <v>1</v>
      </c>
    </row>
    <row r="214" spans="1:23" s="1" customFormat="1">
      <c r="A214" s="45"/>
      <c r="B214" s="46"/>
      <c r="C214" s="46"/>
      <c r="D214" s="47"/>
      <c r="F214" s="48"/>
      <c r="G214" s="47"/>
      <c r="I214" s="50"/>
      <c r="J214" s="49"/>
      <c r="K214" s="52"/>
      <c r="L214" s="50"/>
      <c r="M214" s="50"/>
      <c r="N214" s="51"/>
      <c r="W214" s="4">
        <f t="shared" si="31"/>
        <v>1</v>
      </c>
    </row>
    <row r="215" spans="1:23" s="1" customFormat="1">
      <c r="A215" s="45"/>
      <c r="B215" s="46"/>
      <c r="C215" s="46"/>
      <c r="D215" s="47"/>
      <c r="F215" s="48"/>
      <c r="G215" s="47"/>
      <c r="I215" s="50"/>
      <c r="J215" s="49"/>
      <c r="K215" s="52"/>
      <c r="L215" s="50"/>
      <c r="M215" s="50"/>
      <c r="N215" s="51"/>
      <c r="W215" s="4">
        <f t="shared" si="31"/>
        <v>1</v>
      </c>
    </row>
    <row r="216" spans="1:23" s="1" customFormat="1">
      <c r="A216" s="45"/>
      <c r="B216" s="46"/>
      <c r="C216" s="46"/>
      <c r="D216" s="47"/>
      <c r="F216" s="48"/>
      <c r="G216" s="47"/>
      <c r="I216" s="50"/>
      <c r="J216" s="49"/>
      <c r="K216" s="52"/>
      <c r="L216" s="50"/>
      <c r="M216" s="50"/>
      <c r="N216" s="51"/>
      <c r="W216" s="4">
        <f t="shared" si="31"/>
        <v>1</v>
      </c>
    </row>
    <row r="217" spans="1:23" s="1" customFormat="1">
      <c r="A217" s="45"/>
      <c r="B217" s="46"/>
      <c r="C217" s="46"/>
      <c r="D217" s="47"/>
      <c r="F217" s="48"/>
      <c r="G217" s="47"/>
      <c r="I217" s="50"/>
      <c r="J217" s="49"/>
      <c r="K217" s="52"/>
      <c r="L217" s="50"/>
      <c r="M217" s="50"/>
      <c r="N217" s="51"/>
      <c r="W217" s="4">
        <f t="shared" si="31"/>
        <v>1</v>
      </c>
    </row>
    <row r="218" spans="1:23" s="1" customFormat="1">
      <c r="A218" s="45"/>
      <c r="B218" s="46"/>
      <c r="C218" s="46"/>
      <c r="D218" s="47"/>
      <c r="F218" s="48"/>
      <c r="G218" s="47"/>
      <c r="I218" s="50"/>
      <c r="J218" s="49"/>
      <c r="K218" s="52"/>
      <c r="L218" s="50"/>
      <c r="M218" s="50"/>
      <c r="N218" s="51"/>
      <c r="W218" s="4">
        <f t="shared" si="31"/>
        <v>1</v>
      </c>
    </row>
    <row r="219" spans="1:23" s="1" customFormat="1">
      <c r="A219" s="45"/>
      <c r="B219" s="46"/>
      <c r="C219" s="46"/>
      <c r="D219" s="47"/>
      <c r="F219" s="48"/>
      <c r="G219" s="47"/>
      <c r="I219" s="50"/>
      <c r="J219" s="49"/>
      <c r="K219" s="52"/>
      <c r="L219" s="50"/>
      <c r="M219" s="50"/>
      <c r="N219" s="51"/>
      <c r="W219" s="4">
        <f t="shared" si="31"/>
        <v>1</v>
      </c>
    </row>
    <row r="220" spans="1:23" s="1" customFormat="1">
      <c r="A220" s="45"/>
      <c r="B220" s="46"/>
      <c r="C220" s="46"/>
      <c r="D220" s="47"/>
      <c r="F220" s="48"/>
      <c r="G220" s="47"/>
      <c r="I220" s="50"/>
      <c r="J220" s="49"/>
      <c r="K220" s="52"/>
      <c r="L220" s="50"/>
      <c r="M220" s="50"/>
      <c r="N220" s="51"/>
      <c r="W220" s="4">
        <f t="shared" si="31"/>
        <v>1</v>
      </c>
    </row>
    <row r="221" spans="1:23" s="1" customFormat="1">
      <c r="A221" s="45"/>
      <c r="B221" s="46"/>
      <c r="C221" s="46"/>
      <c r="D221" s="47"/>
      <c r="F221" s="48"/>
      <c r="G221" s="47"/>
      <c r="I221" s="50"/>
      <c r="J221" s="49"/>
      <c r="K221" s="52"/>
      <c r="L221" s="50"/>
      <c r="M221" s="50"/>
      <c r="N221" s="51"/>
      <c r="W221" s="4">
        <f t="shared" si="31"/>
        <v>1</v>
      </c>
    </row>
    <row r="222" spans="1:23" s="1" customFormat="1">
      <c r="A222" s="45"/>
      <c r="B222" s="46"/>
      <c r="C222" s="46"/>
      <c r="D222" s="47"/>
      <c r="F222" s="48"/>
      <c r="G222" s="47"/>
      <c r="I222" s="50"/>
      <c r="J222" s="49"/>
      <c r="K222" s="52"/>
      <c r="L222" s="50"/>
      <c r="M222" s="50"/>
      <c r="N222" s="51"/>
      <c r="W222" s="4">
        <f t="shared" si="31"/>
        <v>1</v>
      </c>
    </row>
    <row r="223" spans="1:23" s="1" customFormat="1">
      <c r="A223" s="45"/>
      <c r="B223" s="46"/>
      <c r="C223" s="46"/>
      <c r="D223" s="47"/>
      <c r="F223" s="48"/>
      <c r="G223" s="47"/>
      <c r="I223" s="50"/>
      <c r="J223" s="49"/>
      <c r="K223" s="52"/>
      <c r="L223" s="50"/>
      <c r="M223" s="50"/>
      <c r="N223" s="51"/>
      <c r="W223" s="4">
        <f t="shared" si="31"/>
        <v>1</v>
      </c>
    </row>
    <row r="224" spans="1:23" s="1" customFormat="1">
      <c r="A224" s="45"/>
      <c r="B224" s="46"/>
      <c r="C224" s="46"/>
      <c r="D224" s="47"/>
      <c r="F224" s="48"/>
      <c r="G224" s="47"/>
      <c r="I224" s="50"/>
      <c r="J224" s="49"/>
      <c r="K224" s="52"/>
      <c r="L224" s="50"/>
      <c r="M224" s="50"/>
      <c r="N224" s="51"/>
      <c r="W224" s="4">
        <f t="shared" si="31"/>
        <v>1</v>
      </c>
    </row>
  </sheetData>
  <mergeCells count="9">
    <mergeCell ref="J5:J6"/>
    <mergeCell ref="D1:F1"/>
    <mergeCell ref="G1:I1"/>
    <mergeCell ref="D5:D6"/>
    <mergeCell ref="E5:E6"/>
    <mergeCell ref="F5:F6"/>
    <mergeCell ref="G5:G6"/>
    <mergeCell ref="H5:H6"/>
    <mergeCell ref="I5:I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119"/>
  <sheetViews>
    <sheetView showGridLines="0" topLeftCell="A4" workbookViewId="0">
      <selection activeCell="C23" sqref="C23"/>
    </sheetView>
  </sheetViews>
  <sheetFormatPr defaultRowHeight="12.75"/>
  <cols>
    <col min="1" max="1" width="41.28515625" customWidth="1"/>
    <col min="2" max="2" width="14" customWidth="1"/>
    <col min="3" max="3" width="11.42578125" customWidth="1"/>
    <col min="4" max="4" width="10.28515625" customWidth="1"/>
    <col min="5" max="5" width="12" customWidth="1"/>
    <col min="6" max="6" width="12" hidden="1" customWidth="1"/>
    <col min="7" max="7" width="8.85546875" customWidth="1"/>
    <col min="8" max="8" width="8.28515625" customWidth="1"/>
    <col min="9" max="9" width="8.140625" customWidth="1"/>
    <col min="10" max="10" width="5.42578125" customWidth="1"/>
    <col min="11" max="11" width="8.42578125" customWidth="1"/>
    <col min="12" max="12" width="9.85546875" customWidth="1"/>
    <col min="13" max="13" width="5.42578125" customWidth="1"/>
    <col min="14" max="14" width="3" customWidth="1"/>
    <col min="15" max="15" width="7.7109375" customWidth="1"/>
    <col min="16" max="16" width="11" customWidth="1"/>
    <col min="17" max="17" width="8.42578125" customWidth="1"/>
    <col min="18" max="18" width="24.140625" hidden="1" customWidth="1"/>
    <col min="19" max="19" width="19.42578125" hidden="1" customWidth="1"/>
  </cols>
  <sheetData>
    <row r="1" spans="2:20" ht="23.25" customHeight="1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15"/>
      <c r="S1" s="115"/>
    </row>
    <row r="2" spans="2:20" ht="23.25" customHeight="1">
      <c r="B2" s="120"/>
      <c r="C2" s="120"/>
      <c r="D2" s="136" t="s">
        <v>70</v>
      </c>
      <c r="E2" s="120"/>
      <c r="F2" s="120"/>
      <c r="G2" s="120"/>
      <c r="H2" s="120"/>
      <c r="I2" s="120"/>
      <c r="J2" s="120"/>
      <c r="K2" s="137" t="s">
        <v>71</v>
      </c>
      <c r="L2" s="120"/>
      <c r="M2" s="120"/>
      <c r="N2" s="120"/>
      <c r="O2" s="120"/>
      <c r="P2" s="120"/>
      <c r="Q2" s="120"/>
      <c r="R2" s="115"/>
      <c r="S2" s="115"/>
    </row>
    <row r="3" spans="2:20" ht="23.25" customHeight="1">
      <c r="B3" s="120"/>
      <c r="C3" s="120"/>
      <c r="D3" s="120"/>
      <c r="E3" s="120"/>
      <c r="F3" s="120"/>
      <c r="G3" s="120"/>
      <c r="H3" s="138"/>
      <c r="I3" s="120"/>
      <c r="J3" s="120"/>
      <c r="K3" s="120"/>
      <c r="L3" s="120"/>
      <c r="M3" s="120"/>
      <c r="N3" s="120"/>
      <c r="O3" s="120"/>
      <c r="P3" s="120"/>
      <c r="Q3" s="120"/>
      <c r="R3" s="115"/>
      <c r="S3" s="115"/>
    </row>
    <row r="4" spans="2:20" ht="23.25" customHeight="1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15"/>
      <c r="S4" s="115"/>
    </row>
    <row r="5" spans="2:20" ht="23.25" customHeight="1">
      <c r="B5" s="120"/>
      <c r="C5" s="139" t="s">
        <v>66</v>
      </c>
      <c r="D5" s="203">
        <f>(1/((4*PI()^2)*((L12*1000000)^2)*(L18/1000000000000)))*1000000</f>
        <v>209.44947522963884</v>
      </c>
      <c r="E5" s="203"/>
      <c r="F5" s="140"/>
      <c r="G5" s="139" t="s">
        <v>67</v>
      </c>
      <c r="H5" s="139"/>
      <c r="I5" s="139"/>
      <c r="J5" s="120"/>
      <c r="K5" s="139" t="s">
        <v>66</v>
      </c>
      <c r="L5" s="203">
        <f>allineamento!H8</f>
        <v>114.44546061416881</v>
      </c>
      <c r="M5" s="203"/>
      <c r="N5" s="120"/>
      <c r="O5" s="139" t="s">
        <v>67</v>
      </c>
      <c r="P5" s="120"/>
      <c r="Q5" s="120"/>
      <c r="R5" s="115"/>
      <c r="S5" s="115"/>
    </row>
    <row r="6" spans="2:20" ht="23.2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16">
        <f>E12/1000000000000</f>
        <v>1.9999999999999999E-11</v>
      </c>
      <c r="S6" s="116" t="s">
        <v>80</v>
      </c>
    </row>
    <row r="7" spans="2:20" ht="23.25" customHeight="1">
      <c r="B7" s="120"/>
      <c r="C7" s="139" t="s">
        <v>66</v>
      </c>
      <c r="D7" s="203">
        <f>(1/((4*PI()^2)*((P12*1000000)^2)*(I18/1000000000000)))*1000000</f>
        <v>209.44947522963884</v>
      </c>
      <c r="E7" s="203"/>
      <c r="F7" s="140"/>
      <c r="G7" s="139" t="s">
        <v>67</v>
      </c>
      <c r="H7" s="139"/>
      <c r="I7" s="139"/>
      <c r="J7" s="120"/>
      <c r="K7" s="120"/>
      <c r="L7" s="141" t="s">
        <v>72</v>
      </c>
      <c r="M7" s="142"/>
      <c r="N7" s="142"/>
      <c r="O7" s="142"/>
      <c r="P7" s="141"/>
      <c r="Q7" s="141"/>
      <c r="R7" s="116">
        <f>I12/1000000000000</f>
        <v>4.3000000000000001E-10</v>
      </c>
      <c r="S7" s="116" t="s">
        <v>83</v>
      </c>
      <c r="T7" s="111"/>
    </row>
    <row r="8" spans="2:20" ht="23.25" customHeight="1" thickBot="1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9">
        <f>L12*1000000</f>
        <v>500000</v>
      </c>
      <c r="S8" s="116" t="s">
        <v>78</v>
      </c>
    </row>
    <row r="9" spans="2:20" ht="23.25" customHeight="1" thickBot="1">
      <c r="B9" s="120"/>
      <c r="C9" s="139" t="s">
        <v>68</v>
      </c>
      <c r="D9" s="200">
        <f>SUPERETERODINA!C27</f>
        <v>0.45</v>
      </c>
      <c r="E9" s="201"/>
      <c r="F9" s="133"/>
      <c r="G9" s="139" t="s">
        <v>69</v>
      </c>
      <c r="H9" s="120"/>
      <c r="I9" s="120"/>
      <c r="J9" s="120"/>
      <c r="K9" s="120"/>
      <c r="L9" s="141" t="s">
        <v>73</v>
      </c>
      <c r="M9" s="120"/>
      <c r="N9" s="120"/>
      <c r="O9" s="120"/>
      <c r="P9" s="120"/>
      <c r="Q9" s="120"/>
      <c r="R9" s="129">
        <f>P12*1000000</f>
        <v>1500000</v>
      </c>
      <c r="S9" s="116" t="s">
        <v>81</v>
      </c>
    </row>
    <row r="10" spans="2:20" ht="23.25" customHeight="1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16">
        <f>R7/(((R9/R8)^2-1))</f>
        <v>5.3750000000000002E-11</v>
      </c>
      <c r="S10" s="116" t="s">
        <v>82</v>
      </c>
    </row>
    <row r="11" spans="2:20" ht="23.25" customHeight="1" thickBot="1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16"/>
      <c r="S11" s="115"/>
    </row>
    <row r="12" spans="2:20" ht="23.25" customHeight="1" thickBot="1">
      <c r="B12" s="143" t="s">
        <v>56</v>
      </c>
      <c r="C12" s="144" t="s">
        <v>57</v>
      </c>
      <c r="D12" s="121" t="s">
        <v>58</v>
      </c>
      <c r="E12" s="154">
        <f>SUPERETERODINA!C31</f>
        <v>20</v>
      </c>
      <c r="F12" s="145">
        <f>IF(E12=0,1,E12)</f>
        <v>20</v>
      </c>
      <c r="G12" s="121" t="s">
        <v>8</v>
      </c>
      <c r="H12" s="121" t="s">
        <v>59</v>
      </c>
      <c r="I12" s="123">
        <f>IF(C22=0,(E13-E12),C25)</f>
        <v>430</v>
      </c>
      <c r="J12" s="121" t="s">
        <v>8</v>
      </c>
      <c r="K12" s="121" t="s">
        <v>60</v>
      </c>
      <c r="L12" s="125">
        <f>SUPERETERODINA!C25</f>
        <v>0.5</v>
      </c>
      <c r="M12" s="121" t="s">
        <v>40</v>
      </c>
      <c r="N12" s="121"/>
      <c r="O12" s="121" t="s">
        <v>61</v>
      </c>
      <c r="P12" s="125">
        <f>SUPERETERODINA!C23</f>
        <v>1.5</v>
      </c>
      <c r="Q12" s="121" t="s">
        <v>40</v>
      </c>
      <c r="R12" s="117"/>
      <c r="S12" s="117"/>
      <c r="T12" s="106"/>
    </row>
    <row r="13" spans="2:20" ht="23.25" customHeight="1" thickBot="1">
      <c r="B13" s="120"/>
      <c r="C13" s="134"/>
      <c r="D13" s="146" t="s">
        <v>79</v>
      </c>
      <c r="E13" s="132">
        <f>SUPERETERODINA!C29</f>
        <v>450</v>
      </c>
      <c r="F13" s="130">
        <f>E13</f>
        <v>450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15"/>
      <c r="S13" s="115"/>
    </row>
    <row r="14" spans="2:20" ht="23.25" customHeight="1" thickBot="1">
      <c r="B14" s="147" t="s">
        <v>84</v>
      </c>
      <c r="C14" s="148"/>
      <c r="D14" s="149" t="s">
        <v>58</v>
      </c>
      <c r="E14" s="156">
        <f>C23</f>
        <v>0</v>
      </c>
      <c r="F14" s="131">
        <f>E14</f>
        <v>0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15"/>
      <c r="S14" s="115"/>
    </row>
    <row r="15" spans="2:20" ht="23.25" customHeight="1" thickBot="1">
      <c r="B15" s="147" t="s">
        <v>85</v>
      </c>
      <c r="C15" s="148"/>
      <c r="D15" s="150" t="s">
        <v>79</v>
      </c>
      <c r="E15" s="155">
        <f>C24</f>
        <v>0</v>
      </c>
      <c r="F15" s="131">
        <f>E15</f>
        <v>0</v>
      </c>
      <c r="G15" s="120"/>
      <c r="H15" s="120"/>
      <c r="I15" s="120"/>
      <c r="J15" s="120"/>
      <c r="K15" s="163"/>
      <c r="L15" s="120"/>
      <c r="M15" s="120"/>
      <c r="N15" s="120"/>
      <c r="O15" s="120"/>
      <c r="P15" s="120"/>
      <c r="Q15" s="120"/>
      <c r="R15" s="115"/>
      <c r="S15" s="115"/>
    </row>
    <row r="16" spans="2:20" ht="23.25" customHeight="1">
      <c r="B16" s="120"/>
      <c r="C16" s="134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15"/>
      <c r="S16" s="115"/>
    </row>
    <row r="17" spans="2:21" ht="23.25" customHeight="1">
      <c r="B17" s="120"/>
      <c r="C17" s="134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15"/>
      <c r="S17" s="115"/>
    </row>
    <row r="18" spans="2:21" ht="23.25" customHeight="1">
      <c r="B18" s="151" t="s">
        <v>62</v>
      </c>
      <c r="C18" s="144" t="s">
        <v>57</v>
      </c>
      <c r="D18" s="121" t="s">
        <v>63</v>
      </c>
      <c r="E18" s="152">
        <f>R10*1000000000000</f>
        <v>53.75</v>
      </c>
      <c r="F18" s="152"/>
      <c r="G18" s="121" t="s">
        <v>8</v>
      </c>
      <c r="H18" s="121" t="s">
        <v>64</v>
      </c>
      <c r="I18" s="153">
        <f>E18</f>
        <v>53.75</v>
      </c>
      <c r="J18" s="121" t="s">
        <v>8</v>
      </c>
      <c r="K18" s="121" t="s">
        <v>65</v>
      </c>
      <c r="L18" s="152">
        <f>I12+I18</f>
        <v>483.75</v>
      </c>
      <c r="M18" s="121" t="s">
        <v>8</v>
      </c>
      <c r="N18" s="121"/>
      <c r="O18" s="144"/>
      <c r="P18" s="202" t="str">
        <f>allineamento!P7</f>
        <v>OK</v>
      </c>
      <c r="Q18" s="202"/>
      <c r="R18" s="117"/>
      <c r="S18" s="117"/>
      <c r="T18" s="106"/>
    </row>
    <row r="19" spans="2:21" ht="23.25" customHeight="1">
      <c r="B19" s="118"/>
      <c r="C19" s="118"/>
      <c r="D19" s="118"/>
      <c r="E19" s="118"/>
      <c r="F19" s="118"/>
      <c r="G19" s="118"/>
      <c r="H19" s="118"/>
      <c r="I19" s="119"/>
      <c r="J19" s="120"/>
      <c r="K19" s="120"/>
      <c r="L19" s="120"/>
      <c r="M19" s="120"/>
      <c r="N19" s="120"/>
      <c r="O19" s="120"/>
      <c r="P19" s="202"/>
      <c r="Q19" s="202"/>
      <c r="R19" s="115"/>
      <c r="S19" s="115"/>
    </row>
    <row r="20" spans="2:21" ht="23.25" customHeight="1">
      <c r="B20" s="118"/>
      <c r="C20" s="119"/>
      <c r="D20" s="119"/>
      <c r="E20" s="119"/>
      <c r="F20" s="119"/>
      <c r="G20" s="119"/>
      <c r="H20" s="120"/>
      <c r="I20" s="120"/>
      <c r="J20" s="120"/>
      <c r="K20" s="120"/>
      <c r="L20" s="120"/>
      <c r="M20" s="120"/>
      <c r="N20" s="120"/>
      <c r="O20" s="120"/>
      <c r="P20" s="202"/>
      <c r="Q20" s="202"/>
      <c r="R20" s="115"/>
      <c r="S20" s="115"/>
    </row>
    <row r="21" spans="2:21" ht="23.25" customHeight="1" thickBot="1">
      <c r="B21" s="119"/>
      <c r="C21" s="120"/>
      <c r="D21" s="120"/>
      <c r="E21" s="120"/>
      <c r="F21" s="120"/>
      <c r="G21" s="122"/>
      <c r="H21" s="120"/>
      <c r="I21" s="120"/>
      <c r="J21" s="120"/>
      <c r="K21" s="120"/>
      <c r="L21" s="120"/>
      <c r="M21" s="120"/>
      <c r="N21" s="120"/>
      <c r="O21" s="120"/>
      <c r="P21" s="202"/>
      <c r="Q21" s="202"/>
      <c r="R21" s="115"/>
      <c r="S21" s="115"/>
    </row>
    <row r="22" spans="2:21" ht="23.25" customHeight="1" thickBot="1">
      <c r="B22" s="118"/>
      <c r="C22" s="124">
        <f>SUPERETERODINA!C33</f>
        <v>0</v>
      </c>
      <c r="D22" s="121" t="s">
        <v>8</v>
      </c>
      <c r="E22" s="122" t="s">
        <v>74</v>
      </c>
      <c r="F22" s="122"/>
      <c r="G22" s="120"/>
      <c r="H22" s="120"/>
      <c r="I22" s="120"/>
      <c r="J22" s="120"/>
      <c r="K22" s="120"/>
      <c r="L22" s="120"/>
      <c r="M22" s="120"/>
      <c r="N22" s="120"/>
      <c r="O22" s="120"/>
      <c r="P22" s="199"/>
      <c r="Q22" s="199"/>
      <c r="R22" s="115"/>
      <c r="S22" s="115"/>
    </row>
    <row r="23" spans="2:21" ht="23.25" customHeight="1" thickBot="1">
      <c r="B23" s="119"/>
      <c r="C23" s="155">
        <f>IF(C22=0,0,1/((1/F12)+(1/C22)))</f>
        <v>0</v>
      </c>
      <c r="D23" s="121" t="s">
        <v>8</v>
      </c>
      <c r="E23" s="120" t="s">
        <v>75</v>
      </c>
      <c r="F23" s="120"/>
      <c r="G23" s="122"/>
      <c r="H23" s="120"/>
      <c r="I23" s="120"/>
      <c r="J23" s="120"/>
      <c r="K23" s="120"/>
      <c r="L23" s="120"/>
      <c r="M23" s="120"/>
      <c r="N23" s="120"/>
      <c r="O23" s="120"/>
      <c r="P23" s="199"/>
      <c r="Q23" s="199"/>
      <c r="R23" s="115"/>
      <c r="S23" s="115"/>
      <c r="U23" s="106"/>
    </row>
    <row r="24" spans="2:21" ht="23.25" customHeight="1" thickBot="1">
      <c r="B24" s="119"/>
      <c r="C24" s="155">
        <f>IF(C22=0,0,1/((1/E13)+(1/C22)))</f>
        <v>0</v>
      </c>
      <c r="D24" s="121" t="s">
        <v>8</v>
      </c>
      <c r="E24" s="120" t="s">
        <v>76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99"/>
      <c r="Q24" s="199"/>
      <c r="R24" s="115"/>
      <c r="S24" s="115"/>
    </row>
    <row r="25" spans="2:21" ht="23.25" customHeight="1" thickBot="1">
      <c r="B25" s="119"/>
      <c r="C25" s="155">
        <f>IF(C22&gt;0,(C24-C23),0)</f>
        <v>0</v>
      </c>
      <c r="D25" s="121" t="s">
        <v>8</v>
      </c>
      <c r="E25" s="120" t="s">
        <v>77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99"/>
      <c r="Q25" s="199"/>
      <c r="R25" s="115"/>
      <c r="S25" s="115"/>
    </row>
    <row r="26" spans="2:21" ht="23.25" customHeight="1">
      <c r="B26" s="119"/>
      <c r="C26" s="119"/>
      <c r="D26" s="122"/>
      <c r="E26" s="122"/>
      <c r="F26" s="122"/>
      <c r="G26" s="122"/>
      <c r="H26" s="122"/>
      <c r="I26" s="119"/>
      <c r="J26" s="120"/>
      <c r="K26" s="120"/>
      <c r="L26" s="120"/>
      <c r="M26" s="120"/>
      <c r="N26" s="120"/>
      <c r="O26" s="120"/>
      <c r="P26" s="199"/>
      <c r="Q26" s="199"/>
      <c r="R26" s="115"/>
      <c r="S26" s="115"/>
    </row>
    <row r="27" spans="2:21" ht="23.25" customHeight="1">
      <c r="B27" s="113"/>
      <c r="C27" s="113"/>
      <c r="D27" s="113"/>
      <c r="E27" s="113"/>
      <c r="F27" s="113"/>
      <c r="G27" s="113"/>
      <c r="H27" s="113"/>
      <c r="I27" s="113"/>
    </row>
    <row r="28" spans="2:21" ht="23.25" customHeight="1"/>
    <row r="29" spans="2:21" ht="23.25" customHeight="1"/>
    <row r="30" spans="2:21" ht="23.25" customHeight="1"/>
    <row r="31" spans="2:21" ht="23.25" customHeight="1"/>
    <row r="32" spans="2:21" ht="23.25" customHeight="1">
      <c r="B32" s="126"/>
    </row>
    <row r="33" spans="3:26" ht="23.25" customHeight="1">
      <c r="E33" s="127"/>
      <c r="F33" s="127"/>
      <c r="G33" s="127"/>
      <c r="H33" s="127"/>
      <c r="V33" s="106"/>
      <c r="W33" s="106"/>
      <c r="X33" s="106"/>
      <c r="Y33" s="106"/>
      <c r="Z33" s="106"/>
    </row>
    <row r="34" spans="3:26" ht="23.25" customHeight="1">
      <c r="E34" s="127"/>
      <c r="F34" s="127"/>
      <c r="G34" s="127"/>
      <c r="H34" s="127"/>
    </row>
    <row r="35" spans="3:26" ht="23.25" customHeight="1">
      <c r="E35" s="127"/>
      <c r="F35" s="127"/>
      <c r="G35" s="127"/>
      <c r="H35" s="127"/>
    </row>
    <row r="36" spans="3:26" ht="23.25" customHeight="1">
      <c r="E36" s="127"/>
      <c r="F36" s="127"/>
      <c r="G36" s="127"/>
      <c r="H36" s="127"/>
    </row>
    <row r="37" spans="3:26" ht="23.25" customHeight="1">
      <c r="E37" s="127"/>
      <c r="F37" s="127"/>
      <c r="G37" s="127"/>
      <c r="H37" s="127"/>
      <c r="V37" s="106"/>
      <c r="W37" s="106"/>
      <c r="X37" s="106"/>
      <c r="Y37" s="106"/>
      <c r="Z37" s="106"/>
    </row>
    <row r="38" spans="3:26" ht="23.25" customHeight="1">
      <c r="E38" s="127"/>
      <c r="F38" s="127"/>
      <c r="G38" s="127"/>
      <c r="H38" s="127"/>
    </row>
    <row r="39" spans="3:26" ht="23.25" customHeight="1">
      <c r="E39" s="127"/>
      <c r="F39" s="127"/>
      <c r="G39" s="127"/>
      <c r="H39" s="127"/>
    </row>
    <row r="40" spans="3:26" ht="23.25" customHeight="1">
      <c r="E40" s="127"/>
      <c r="F40" s="127"/>
      <c r="G40" s="127"/>
      <c r="H40" s="127"/>
    </row>
    <row r="41" spans="3:26" s="107" customFormat="1" ht="23.25" customHeight="1">
      <c r="C41"/>
      <c r="D41"/>
      <c r="E41" s="127"/>
      <c r="F41" s="127"/>
      <c r="G41" s="127"/>
      <c r="H41" s="127"/>
      <c r="I41"/>
    </row>
    <row r="42" spans="3:26" s="107" customFormat="1" ht="23.25" customHeight="1">
      <c r="C42"/>
      <c r="D42"/>
      <c r="E42" s="127"/>
      <c r="F42" s="127"/>
      <c r="G42" s="127"/>
      <c r="H42" s="127"/>
      <c r="I42"/>
    </row>
    <row r="43" spans="3:26" s="107" customFormat="1" ht="23.25" customHeight="1">
      <c r="C43"/>
      <c r="D43"/>
      <c r="E43" s="127"/>
      <c r="F43" s="127"/>
      <c r="G43" s="127"/>
      <c r="H43" s="127"/>
      <c r="I43"/>
    </row>
    <row r="44" spans="3:26" s="107" customFormat="1" ht="23.25" customHeight="1">
      <c r="C44"/>
      <c r="D44"/>
      <c r="E44" s="127"/>
      <c r="F44" s="127"/>
      <c r="G44" s="127"/>
      <c r="H44" s="127"/>
      <c r="I44"/>
    </row>
    <row r="45" spans="3:26" ht="23.25" customHeight="1">
      <c r="E45" s="127"/>
      <c r="F45" s="127"/>
      <c r="G45" s="127"/>
      <c r="H45" s="127"/>
    </row>
    <row r="46" spans="3:26" ht="23.25" customHeight="1">
      <c r="E46" s="127"/>
      <c r="F46" s="127"/>
      <c r="G46" s="127"/>
      <c r="H46" s="127"/>
    </row>
    <row r="47" spans="3:26" ht="23.25" customHeight="1">
      <c r="E47" s="127"/>
      <c r="F47" s="127"/>
      <c r="G47" s="127"/>
      <c r="H47" s="127"/>
    </row>
    <row r="48" spans="3:26" ht="23.25" customHeight="1">
      <c r="E48" s="127"/>
      <c r="F48" s="127"/>
      <c r="G48" s="127"/>
      <c r="H48" s="127"/>
    </row>
    <row r="49" spans="2:8" ht="23.25" customHeight="1">
      <c r="E49" s="127"/>
      <c r="F49" s="127"/>
      <c r="G49" s="127"/>
      <c r="H49" s="127"/>
    </row>
    <row r="50" spans="2:8" ht="23.25" customHeight="1">
      <c r="E50" s="127"/>
      <c r="F50" s="127"/>
      <c r="G50" s="127"/>
      <c r="H50" s="127"/>
    </row>
    <row r="51" spans="2:8" ht="23.25" customHeight="1">
      <c r="B51" s="112"/>
      <c r="E51" s="127"/>
      <c r="F51" s="127"/>
      <c r="G51" s="127"/>
      <c r="H51" s="127"/>
    </row>
    <row r="52" spans="2:8" ht="23.25" customHeight="1" thickBot="1">
      <c r="B52" s="114"/>
      <c r="E52" s="127"/>
      <c r="F52" s="127"/>
      <c r="G52" s="127"/>
      <c r="H52" s="127"/>
    </row>
    <row r="53" spans="2:8" ht="23.25" customHeight="1">
      <c r="E53" s="127"/>
      <c r="F53" s="127"/>
      <c r="G53" s="127"/>
      <c r="H53" s="127"/>
    </row>
    <row r="54" spans="2:8" ht="23.25" customHeight="1">
      <c r="E54" s="127"/>
      <c r="F54" s="127"/>
      <c r="G54" s="127"/>
      <c r="H54" s="127"/>
    </row>
    <row r="55" spans="2:8" ht="23.25" customHeight="1">
      <c r="E55" s="127"/>
      <c r="F55" s="127"/>
      <c r="G55" s="127"/>
      <c r="H55" s="127"/>
    </row>
    <row r="56" spans="2:8" ht="23.25" customHeight="1">
      <c r="E56" s="127"/>
      <c r="F56" s="127"/>
      <c r="G56" s="127"/>
      <c r="H56" s="127"/>
    </row>
    <row r="57" spans="2:8" ht="23.25" customHeight="1">
      <c r="E57" s="127"/>
      <c r="F57" s="127"/>
      <c r="G57" s="127"/>
      <c r="H57" s="127"/>
    </row>
    <row r="58" spans="2:8" ht="23.25" customHeight="1">
      <c r="E58" s="127"/>
      <c r="F58" s="127"/>
      <c r="G58" s="127"/>
      <c r="H58" s="127"/>
    </row>
    <row r="59" spans="2:8" ht="23.25" customHeight="1">
      <c r="E59" s="127"/>
      <c r="F59" s="127"/>
      <c r="G59" s="127"/>
      <c r="H59" s="127"/>
    </row>
    <row r="60" spans="2:8" ht="23.25" customHeight="1">
      <c r="E60" s="127"/>
      <c r="F60" s="127"/>
      <c r="G60" s="127"/>
      <c r="H60" s="127"/>
    </row>
    <row r="61" spans="2:8" ht="23.25" customHeight="1">
      <c r="E61" s="127"/>
      <c r="F61" s="127"/>
      <c r="G61" s="127"/>
      <c r="H61" s="127"/>
    </row>
    <row r="62" spans="2:8" ht="23.25" customHeight="1">
      <c r="E62" s="127"/>
      <c r="F62" s="127"/>
      <c r="G62" s="127"/>
      <c r="H62" s="127"/>
    </row>
    <row r="63" spans="2:8" ht="23.25" customHeight="1">
      <c r="E63" s="127"/>
      <c r="F63" s="127"/>
      <c r="G63" s="127"/>
      <c r="H63" s="127"/>
    </row>
    <row r="64" spans="2:8" ht="23.25" customHeight="1">
      <c r="E64" s="127"/>
      <c r="F64" s="127"/>
      <c r="G64" s="127"/>
      <c r="H64" s="127"/>
    </row>
    <row r="65" spans="5:8" ht="23.25" customHeight="1">
      <c r="E65" s="127"/>
      <c r="F65" s="127"/>
      <c r="G65" s="127"/>
      <c r="H65" s="127"/>
    </row>
    <row r="66" spans="5:8" ht="23.25" customHeight="1">
      <c r="E66" s="127"/>
      <c r="F66" s="127"/>
      <c r="G66" s="127"/>
      <c r="H66" s="127"/>
    </row>
    <row r="67" spans="5:8" ht="23.25" customHeight="1">
      <c r="E67" s="127"/>
      <c r="F67" s="127"/>
      <c r="G67" s="127"/>
      <c r="H67" s="127"/>
    </row>
    <row r="68" spans="5:8" ht="23.25" customHeight="1">
      <c r="E68" s="127"/>
      <c r="F68" s="127"/>
      <c r="G68" s="127"/>
      <c r="H68" s="127"/>
    </row>
    <row r="69" spans="5:8" ht="23.25" customHeight="1">
      <c r="E69" s="127"/>
      <c r="F69" s="127"/>
      <c r="G69" s="127"/>
      <c r="H69" s="127"/>
    </row>
    <row r="70" spans="5:8" ht="23.25" customHeight="1">
      <c r="E70" s="127"/>
      <c r="F70" s="127"/>
      <c r="G70" s="127"/>
      <c r="H70" s="127"/>
    </row>
    <row r="71" spans="5:8" ht="23.25" customHeight="1">
      <c r="E71" s="127"/>
      <c r="F71" s="127"/>
      <c r="G71" s="127"/>
      <c r="H71" s="127"/>
    </row>
    <row r="72" spans="5:8" ht="23.25" customHeight="1">
      <c r="E72" s="127"/>
      <c r="F72" s="127"/>
      <c r="G72" s="127"/>
      <c r="H72" s="127"/>
    </row>
    <row r="73" spans="5:8">
      <c r="E73" s="127"/>
      <c r="F73" s="127"/>
      <c r="G73" s="127"/>
      <c r="H73" s="127"/>
    </row>
    <row r="74" spans="5:8">
      <c r="E74" s="127"/>
      <c r="F74" s="127"/>
      <c r="G74" s="127"/>
      <c r="H74" s="127"/>
    </row>
    <row r="75" spans="5:8">
      <c r="E75" s="127"/>
      <c r="F75" s="127"/>
      <c r="G75" s="127"/>
      <c r="H75" s="127"/>
    </row>
    <row r="76" spans="5:8">
      <c r="E76" s="127"/>
      <c r="F76" s="127"/>
      <c r="G76" s="127"/>
      <c r="H76" s="127"/>
    </row>
    <row r="77" spans="5:8">
      <c r="E77" s="127"/>
      <c r="F77" s="127"/>
      <c r="G77" s="127"/>
      <c r="H77" s="127"/>
    </row>
    <row r="78" spans="5:8">
      <c r="E78" s="127"/>
      <c r="F78" s="127"/>
      <c r="G78" s="127"/>
      <c r="H78" s="127"/>
    </row>
    <row r="79" spans="5:8">
      <c r="E79" s="127"/>
      <c r="F79" s="127"/>
      <c r="G79" s="127"/>
      <c r="H79" s="127"/>
    </row>
    <row r="80" spans="5:8">
      <c r="E80" s="127"/>
      <c r="F80" s="127"/>
      <c r="G80" s="127"/>
      <c r="H80" s="127"/>
    </row>
    <row r="81" spans="5:8">
      <c r="E81" s="127"/>
      <c r="F81" s="127"/>
      <c r="G81" s="127"/>
      <c r="H81" s="127"/>
    </row>
    <row r="82" spans="5:8">
      <c r="E82" s="127"/>
      <c r="F82" s="127"/>
      <c r="G82" s="127"/>
      <c r="H82" s="127"/>
    </row>
    <row r="83" spans="5:8">
      <c r="E83" s="127"/>
      <c r="F83" s="127"/>
      <c r="G83" s="127"/>
      <c r="H83" s="127"/>
    </row>
    <row r="84" spans="5:8">
      <c r="E84" s="127"/>
      <c r="F84" s="127"/>
      <c r="G84" s="127"/>
      <c r="H84" s="127"/>
    </row>
    <row r="85" spans="5:8">
      <c r="E85" s="127"/>
      <c r="F85" s="127"/>
      <c r="G85" s="127"/>
      <c r="H85" s="127"/>
    </row>
    <row r="86" spans="5:8">
      <c r="E86" s="127"/>
      <c r="F86" s="127"/>
      <c r="G86" s="127"/>
      <c r="H86" s="127"/>
    </row>
    <row r="87" spans="5:8">
      <c r="E87" s="127"/>
      <c r="F87" s="127"/>
      <c r="G87" s="127"/>
      <c r="H87" s="127"/>
    </row>
    <row r="88" spans="5:8">
      <c r="E88" s="127"/>
      <c r="F88" s="127"/>
      <c r="G88" s="127"/>
      <c r="H88" s="127"/>
    </row>
    <row r="89" spans="5:8">
      <c r="E89" s="127"/>
      <c r="F89" s="127"/>
      <c r="G89" s="127"/>
      <c r="H89" s="127"/>
    </row>
    <row r="90" spans="5:8">
      <c r="E90" s="127"/>
      <c r="F90" s="127"/>
      <c r="G90" s="127"/>
      <c r="H90" s="127"/>
    </row>
    <row r="91" spans="5:8">
      <c r="E91" s="127"/>
      <c r="F91" s="127"/>
      <c r="G91" s="127"/>
      <c r="H91" s="127"/>
    </row>
    <row r="92" spans="5:8">
      <c r="E92" s="127"/>
      <c r="F92" s="127"/>
      <c r="G92" s="127"/>
      <c r="H92" s="127"/>
    </row>
    <row r="93" spans="5:8">
      <c r="E93" s="127"/>
      <c r="F93" s="127"/>
      <c r="G93" s="127"/>
      <c r="H93" s="127"/>
    </row>
    <row r="94" spans="5:8">
      <c r="E94" s="127"/>
      <c r="F94" s="127"/>
      <c r="G94" s="127"/>
      <c r="H94" s="127"/>
    </row>
    <row r="95" spans="5:8">
      <c r="E95" s="127"/>
      <c r="F95" s="127"/>
      <c r="G95" s="127"/>
      <c r="H95" s="127"/>
    </row>
    <row r="96" spans="5:8">
      <c r="E96" s="127"/>
      <c r="F96" s="127"/>
      <c r="G96" s="127"/>
      <c r="H96" s="127"/>
    </row>
    <row r="97" spans="5:8">
      <c r="E97" s="127"/>
      <c r="F97" s="127"/>
      <c r="G97" s="127"/>
      <c r="H97" s="127"/>
    </row>
    <row r="98" spans="5:8">
      <c r="E98" s="127"/>
      <c r="F98" s="127"/>
      <c r="G98" s="127"/>
      <c r="H98" s="127"/>
    </row>
    <row r="99" spans="5:8">
      <c r="E99" s="127"/>
      <c r="F99" s="127"/>
      <c r="G99" s="127"/>
      <c r="H99" s="127"/>
    </row>
    <row r="100" spans="5:8">
      <c r="E100" s="127"/>
      <c r="F100" s="127"/>
      <c r="G100" s="127"/>
      <c r="H100" s="127"/>
    </row>
    <row r="101" spans="5:8">
      <c r="E101" s="127"/>
      <c r="F101" s="127"/>
      <c r="G101" s="127"/>
      <c r="H101" s="127"/>
    </row>
    <row r="102" spans="5:8">
      <c r="E102" s="127"/>
      <c r="F102" s="127"/>
      <c r="G102" s="127"/>
      <c r="H102" s="127"/>
    </row>
    <row r="103" spans="5:8">
      <c r="E103" s="127"/>
      <c r="F103" s="127"/>
      <c r="G103" s="127"/>
      <c r="H103" s="127"/>
    </row>
    <row r="104" spans="5:8">
      <c r="E104" s="127"/>
      <c r="F104" s="127"/>
      <c r="G104" s="127"/>
      <c r="H104" s="127"/>
    </row>
    <row r="105" spans="5:8">
      <c r="E105" s="127"/>
      <c r="F105" s="127"/>
      <c r="G105" s="127"/>
      <c r="H105" s="127"/>
    </row>
    <row r="106" spans="5:8">
      <c r="E106" s="127"/>
      <c r="F106" s="127"/>
      <c r="G106" s="127"/>
      <c r="H106" s="127"/>
    </row>
    <row r="107" spans="5:8">
      <c r="E107" s="127"/>
      <c r="F107" s="127"/>
      <c r="G107" s="127"/>
      <c r="H107" s="127"/>
    </row>
    <row r="108" spans="5:8">
      <c r="E108" s="127"/>
      <c r="F108" s="127"/>
      <c r="G108" s="127"/>
      <c r="H108" s="127"/>
    </row>
    <row r="109" spans="5:8">
      <c r="E109" s="127"/>
      <c r="F109" s="127"/>
      <c r="G109" s="127"/>
      <c r="H109" s="127"/>
    </row>
    <row r="110" spans="5:8">
      <c r="E110" s="127"/>
      <c r="F110" s="127"/>
      <c r="G110" s="127"/>
      <c r="H110" s="127"/>
    </row>
    <row r="111" spans="5:8">
      <c r="E111" s="127"/>
      <c r="F111" s="127"/>
      <c r="G111" s="127"/>
      <c r="H111" s="127"/>
    </row>
    <row r="112" spans="5:8">
      <c r="E112" s="127"/>
      <c r="F112" s="127"/>
      <c r="G112" s="127"/>
      <c r="H112" s="127"/>
    </row>
    <row r="113" spans="5:8">
      <c r="E113" s="127"/>
      <c r="F113" s="127"/>
      <c r="G113" s="127"/>
      <c r="H113" s="127"/>
    </row>
    <row r="114" spans="5:8">
      <c r="E114" s="127"/>
      <c r="F114" s="127"/>
      <c r="G114" s="127"/>
      <c r="H114" s="127"/>
    </row>
    <row r="115" spans="5:8">
      <c r="E115" s="127"/>
      <c r="F115" s="127"/>
      <c r="G115" s="127"/>
      <c r="H115" s="127"/>
    </row>
    <row r="116" spans="5:8">
      <c r="E116" s="127"/>
      <c r="F116" s="127"/>
      <c r="G116" s="127"/>
      <c r="H116" s="127"/>
    </row>
    <row r="117" spans="5:8">
      <c r="E117" s="127"/>
      <c r="F117" s="127"/>
      <c r="G117" s="127"/>
      <c r="H117" s="127"/>
    </row>
    <row r="118" spans="5:8">
      <c r="E118" s="127"/>
      <c r="F118" s="127"/>
      <c r="G118" s="127"/>
      <c r="H118" s="127"/>
    </row>
    <row r="119" spans="5:8">
      <c r="E119" s="127"/>
      <c r="F119" s="127"/>
      <c r="G119" s="127"/>
      <c r="H119" s="127"/>
    </row>
  </sheetData>
  <mergeCells count="6">
    <mergeCell ref="P22:Q26"/>
    <mergeCell ref="D9:E9"/>
    <mergeCell ref="P18:Q21"/>
    <mergeCell ref="D5:E5"/>
    <mergeCell ref="D7:E7"/>
    <mergeCell ref="L5:M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4"/>
  <sheetViews>
    <sheetView tabSelected="1" workbookViewId="0">
      <selection activeCell="L24" sqref="L24"/>
    </sheetView>
  </sheetViews>
  <sheetFormatPr defaultRowHeight="15" customHeight="1"/>
  <cols>
    <col min="1" max="1" width="1.85546875" style="159" customWidth="1"/>
    <col min="2" max="2" width="12.7109375" style="159" customWidth="1"/>
    <col min="3" max="3" width="14.28515625" style="159" bestFit="1" customWidth="1"/>
    <col min="4" max="6" width="9.140625" style="159"/>
    <col min="7" max="7" width="1.140625" style="159" customWidth="1"/>
    <col min="8" max="8" width="9.140625" style="159"/>
    <col min="9" max="9" width="12.42578125" style="159" customWidth="1"/>
    <col min="10" max="10" width="5.28515625" style="159" customWidth="1"/>
    <col min="11" max="12" width="9.140625" style="159"/>
    <col min="13" max="13" width="8.140625" style="159" customWidth="1"/>
    <col min="14" max="14" width="4.140625" style="159" customWidth="1"/>
    <col min="15" max="15" width="10" style="159" customWidth="1"/>
    <col min="16" max="16" width="10.7109375" style="159" customWidth="1"/>
    <col min="17" max="17" width="7.5703125" style="159" customWidth="1"/>
    <col min="18" max="18" width="19.140625" style="159" customWidth="1"/>
    <col min="19" max="19" width="10.85546875" style="159" customWidth="1"/>
    <col min="20" max="20" width="2.140625" style="159" customWidth="1"/>
    <col min="21" max="22" width="9.140625" style="159"/>
    <col min="23" max="23" width="9.140625" style="160"/>
    <col min="24" max="16384" width="9.140625" style="159"/>
  </cols>
  <sheetData>
    <row r="1" spans="7:23" ht="5.25" customHeight="1"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7:23" ht="15" customHeight="1">
      <c r="G2" s="185"/>
      <c r="H2" s="207" t="s">
        <v>90</v>
      </c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185"/>
      <c r="W2" s="160">
        <f>allineamento!$N$8</f>
        <v>-4.7106502817566938E-3</v>
      </c>
    </row>
    <row r="3" spans="7:23" ht="8.25" customHeight="1"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W3" s="160">
        <f>allineamento!N9</f>
        <v>-1.4723655349753943E-3</v>
      </c>
    </row>
    <row r="4" spans="7:23" ht="9.75" customHeight="1"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W4" s="160">
        <f>allineamento!N10</f>
        <v>8.9987848913135435E-4</v>
      </c>
    </row>
    <row r="5" spans="7:23" ht="7.5" customHeight="1">
      <c r="W5" s="160">
        <f>allineamento!N11</f>
        <v>2.6114208237839015E-3</v>
      </c>
    </row>
    <row r="6" spans="7:23" ht="15" customHeight="1">
      <c r="W6" s="160">
        <f>allineamento!N12</f>
        <v>3.8138904276468575E-3</v>
      </c>
    </row>
    <row r="7" spans="7:23" ht="15" customHeight="1">
      <c r="W7" s="160">
        <f>allineamento!N13</f>
        <v>4.6211506023395273E-3</v>
      </c>
    </row>
    <row r="8" spans="7:23" ht="15" customHeight="1">
      <c r="W8" s="160">
        <f>allineamento!N14</f>
        <v>5.1199487666410727E-3</v>
      </c>
    </row>
    <row r="9" spans="7:23" ht="15" customHeight="1">
      <c r="W9" s="160">
        <f>allineamento!N15</f>
        <v>5.3772046641463187E-3</v>
      </c>
    </row>
    <row r="10" spans="7:23" ht="15" customHeight="1">
      <c r="W10" s="160">
        <f>allineamento!N16</f>
        <v>5.4451053756669416E-3</v>
      </c>
    </row>
    <row r="11" spans="7:23" ht="15" customHeight="1">
      <c r="W11" s="160">
        <f>allineamento!N17</f>
        <v>5.3647347418595013E-3</v>
      </c>
    </row>
    <row r="12" spans="7:23" ht="15" customHeight="1">
      <c r="W12" s="160">
        <f>allineamento!N18</f>
        <v>5.1687024071891347E-3</v>
      </c>
    </row>
    <row r="13" spans="7:23" ht="15" customHeight="1">
      <c r="W13" s="160">
        <f>allineamento!N19</f>
        <v>4.8830769694677249E-3</v>
      </c>
    </row>
    <row r="14" spans="7:23" ht="15" customHeight="1">
      <c r="W14" s="160">
        <f>allineamento!N20</f>
        <v>4.5288267369873146E-3</v>
      </c>
    </row>
    <row r="15" spans="7:23" ht="15" customHeight="1">
      <c r="W15" s="160">
        <f>allineamento!N21</f>
        <v>4.1229066901083168E-3</v>
      </c>
    </row>
    <row r="16" spans="7:23" ht="15" customHeight="1">
      <c r="W16" s="160">
        <f>allineamento!N22</f>
        <v>3.6790876629208308E-3</v>
      </c>
    </row>
    <row r="17" spans="2:23" ht="15" customHeight="1">
      <c r="W17" s="160">
        <f>allineamento!N23</f>
        <v>3.20859530090104E-3</v>
      </c>
    </row>
    <row r="18" spans="2:23" ht="15" customHeight="1">
      <c r="W18" s="160">
        <f>allineamento!N24</f>
        <v>2.7206070042924799E-3</v>
      </c>
    </row>
    <row r="19" spans="2:23" ht="18" customHeight="1">
      <c r="W19" s="160">
        <f>allineamento!N25</f>
        <v>2.2226417106429668E-3</v>
      </c>
    </row>
    <row r="20" spans="2:23" ht="8.25" customHeight="1">
      <c r="W20" s="160">
        <f>allineamento!N26</f>
        <v>1.7208680168147674E-3</v>
      </c>
    </row>
    <row r="21" spans="2:23" s="161" customFormat="1" ht="23.25" customHeight="1">
      <c r="B21" s="204" t="s">
        <v>86</v>
      </c>
      <c r="C21" s="204"/>
      <c r="D21" s="204"/>
      <c r="E21" s="204"/>
      <c r="F21" s="204"/>
      <c r="H21" s="205" t="s">
        <v>62</v>
      </c>
      <c r="I21" s="205"/>
      <c r="J21" s="205"/>
      <c r="K21" s="205"/>
      <c r="L21" s="157"/>
      <c r="M21" s="157"/>
      <c r="N21" s="157"/>
      <c r="O21" s="157"/>
      <c r="P21" s="157"/>
      <c r="Q21" s="157"/>
      <c r="R21" s="157"/>
      <c r="S21" s="157"/>
      <c r="T21" s="157"/>
      <c r="W21" s="160">
        <f>allineamento!N27</f>
        <v>1.2203495046151478E-3</v>
      </c>
    </row>
    <row r="22" spans="2:23" ht="19.5" customHeight="1">
      <c r="B22" s="171"/>
      <c r="C22" s="171"/>
      <c r="D22" s="171"/>
      <c r="E22" s="171"/>
      <c r="F22" s="171"/>
      <c r="H22" s="169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58"/>
      <c r="W22" s="160">
        <f>allineamento!N28</f>
        <v>7.2524136827733555E-4</v>
      </c>
    </row>
    <row r="23" spans="2:23" ht="19.5" customHeight="1">
      <c r="B23" s="184" t="s">
        <v>107</v>
      </c>
      <c r="C23" s="178">
        <v>1.5</v>
      </c>
      <c r="D23" s="172" t="s">
        <v>40</v>
      </c>
      <c r="E23" s="172"/>
      <c r="F23" s="172"/>
      <c r="G23" s="162"/>
      <c r="H23" s="187" t="s">
        <v>101</v>
      </c>
      <c r="I23" s="180">
        <f>allineamento!E2</f>
        <v>0</v>
      </c>
      <c r="J23" s="165" t="s">
        <v>8</v>
      </c>
      <c r="K23" s="167"/>
      <c r="L23" s="186" t="s">
        <v>91</v>
      </c>
      <c r="M23" s="180">
        <f>INPUT1!L18</f>
        <v>483.75</v>
      </c>
      <c r="N23" s="165" t="s">
        <v>8</v>
      </c>
      <c r="O23" s="168" t="s">
        <v>95</v>
      </c>
      <c r="P23" s="181">
        <f>C23</f>
        <v>1.5</v>
      </c>
      <c r="Q23" s="165" t="s">
        <v>40</v>
      </c>
      <c r="R23" s="187" t="s">
        <v>114</v>
      </c>
      <c r="S23" s="182">
        <f>(P23/P25)^2</f>
        <v>9</v>
      </c>
      <c r="T23" s="158"/>
      <c r="W23" s="160">
        <f>allineamento!N29</f>
        <v>2.3894898060705731E-4</v>
      </c>
    </row>
    <row r="24" spans="2:23" ht="19.5" customHeight="1">
      <c r="B24" s="184"/>
      <c r="C24" s="177"/>
      <c r="D24" s="172"/>
      <c r="E24" s="172"/>
      <c r="F24" s="172"/>
      <c r="G24" s="162"/>
      <c r="H24" s="168"/>
      <c r="I24" s="166"/>
      <c r="J24" s="165"/>
      <c r="K24" s="167"/>
      <c r="L24" s="167"/>
      <c r="M24" s="166"/>
      <c r="N24" s="165"/>
      <c r="O24" s="169"/>
      <c r="P24" s="169"/>
      <c r="Q24" s="169"/>
      <c r="R24" s="169"/>
      <c r="S24" s="175"/>
      <c r="T24" s="158"/>
      <c r="W24" s="160">
        <f>allineamento!N30</f>
        <v>-2.357435058000433E-4</v>
      </c>
    </row>
    <row r="25" spans="2:23" ht="19.5" customHeight="1">
      <c r="B25" s="184" t="s">
        <v>108</v>
      </c>
      <c r="C25" s="178">
        <v>0.5</v>
      </c>
      <c r="D25" s="172" t="s">
        <v>40</v>
      </c>
      <c r="E25" s="172"/>
      <c r="F25" s="172"/>
      <c r="G25" s="162"/>
      <c r="H25" s="187" t="s">
        <v>102</v>
      </c>
      <c r="I25" s="180">
        <f>allineamento!E3</f>
        <v>0</v>
      </c>
      <c r="J25" s="165" t="s">
        <v>8</v>
      </c>
      <c r="K25" s="167"/>
      <c r="L25" s="186" t="s">
        <v>92</v>
      </c>
      <c r="M25" s="180">
        <f>INPUT1!I18</f>
        <v>53.75</v>
      </c>
      <c r="N25" s="165" t="s">
        <v>8</v>
      </c>
      <c r="O25" s="168" t="s">
        <v>96</v>
      </c>
      <c r="P25" s="181">
        <f>C25</f>
        <v>0.5</v>
      </c>
      <c r="Q25" s="165" t="s">
        <v>40</v>
      </c>
      <c r="R25" s="187" t="s">
        <v>97</v>
      </c>
      <c r="S25" s="182">
        <f>M23/M25</f>
        <v>9</v>
      </c>
      <c r="T25" s="158"/>
      <c r="W25" s="160">
        <f>allineamento!N31</f>
        <v>-6.9656830858594451E-4</v>
      </c>
    </row>
    <row r="26" spans="2:23" ht="19.5" customHeight="1">
      <c r="B26" s="184"/>
      <c r="C26" s="177"/>
      <c r="D26" s="172"/>
      <c r="E26" s="172"/>
      <c r="F26" s="172"/>
      <c r="G26" s="162"/>
      <c r="H26" s="168"/>
      <c r="I26" s="166"/>
      <c r="J26" s="165"/>
      <c r="K26" s="167"/>
      <c r="L26" s="167"/>
      <c r="M26" s="166"/>
      <c r="N26" s="165"/>
      <c r="O26" s="169"/>
      <c r="P26" s="169"/>
      <c r="Q26" s="169"/>
      <c r="R26" s="169"/>
      <c r="S26" s="175"/>
      <c r="T26" s="158"/>
      <c r="W26" s="160">
        <f>allineamento!N32</f>
        <v>-1.141688111274398E-3</v>
      </c>
    </row>
    <row r="27" spans="2:23" ht="19.5" customHeight="1">
      <c r="B27" s="184" t="s">
        <v>109</v>
      </c>
      <c r="C27" s="178">
        <v>0.45</v>
      </c>
      <c r="D27" s="172" t="s">
        <v>40</v>
      </c>
      <c r="E27" s="172"/>
      <c r="F27" s="172"/>
      <c r="G27" s="162"/>
      <c r="H27" s="192" t="s">
        <v>113</v>
      </c>
      <c r="I27" s="188">
        <f>allineamento!H2</f>
        <v>478.89249620868139</v>
      </c>
      <c r="J27" s="189" t="s">
        <v>8</v>
      </c>
      <c r="K27" s="190" t="s">
        <v>89</v>
      </c>
      <c r="L27" s="186" t="s">
        <v>94</v>
      </c>
      <c r="M27" s="180">
        <f>allineamento!G8</f>
        <v>58.630768199546232</v>
      </c>
      <c r="N27" s="165" t="s">
        <v>8</v>
      </c>
      <c r="O27" s="168" t="s">
        <v>98</v>
      </c>
      <c r="P27" s="181">
        <f>allineamento!I8</f>
        <v>1.942934024577365</v>
      </c>
      <c r="Q27" s="165" t="s">
        <v>40</v>
      </c>
      <c r="R27" s="187" t="s">
        <v>115</v>
      </c>
      <c r="S27" s="182">
        <f>(P27/P29)^2</f>
        <v>4.1589673645677729</v>
      </c>
      <c r="T27" s="158"/>
      <c r="W27" s="160">
        <f>allineamento!N33</f>
        <v>-1.5696253609903555E-3</v>
      </c>
    </row>
    <row r="28" spans="2:23" ht="19.5" customHeight="1">
      <c r="B28" s="184"/>
      <c r="C28" s="172"/>
      <c r="D28" s="172"/>
      <c r="E28" s="172"/>
      <c r="F28" s="172"/>
      <c r="G28" s="162"/>
      <c r="H28" s="168"/>
      <c r="I28" s="166"/>
      <c r="J28" s="165"/>
      <c r="K28" s="167"/>
      <c r="L28" s="167"/>
      <c r="M28" s="166"/>
      <c r="N28" s="165"/>
      <c r="O28" s="169"/>
      <c r="P28" s="176"/>
      <c r="Q28" s="165"/>
      <c r="R28" s="169"/>
      <c r="S28" s="175"/>
      <c r="T28" s="158"/>
      <c r="W28" s="160">
        <f>allineamento!N34</f>
        <v>-1.9792038322602647E-3</v>
      </c>
    </row>
    <row r="29" spans="2:23" ht="19.5" customHeight="1">
      <c r="B29" s="184" t="s">
        <v>110</v>
      </c>
      <c r="C29" s="179">
        <v>450</v>
      </c>
      <c r="D29" s="172" t="s">
        <v>8</v>
      </c>
      <c r="E29" s="173" t="s">
        <v>88</v>
      </c>
      <c r="F29" s="172"/>
      <c r="G29" s="162"/>
      <c r="H29" s="187" t="s">
        <v>103</v>
      </c>
      <c r="I29" s="180">
        <f>allineamento!H3</f>
        <v>13.060354277853612</v>
      </c>
      <c r="J29" s="165" t="s">
        <v>8</v>
      </c>
      <c r="K29" s="167"/>
      <c r="L29" s="186" t="s">
        <v>93</v>
      </c>
      <c r="M29" s="180">
        <f>MAX(allineamento!G8:G97)</f>
        <v>243.84345150145077</v>
      </c>
      <c r="N29" s="165" t="s">
        <v>8</v>
      </c>
      <c r="O29" s="168" t="s">
        <v>99</v>
      </c>
      <c r="P29" s="181">
        <f>MIN(allineamento!I8:I106)</f>
        <v>0.95272003335078703</v>
      </c>
      <c r="Q29" s="165" t="s">
        <v>40</v>
      </c>
      <c r="R29" s="187" t="s">
        <v>100</v>
      </c>
      <c r="S29" s="182">
        <f>M29/M27</f>
        <v>4.1589673645677729</v>
      </c>
      <c r="T29" s="158"/>
      <c r="W29" s="160">
        <f>allineamento!N35</f>
        <v>-2.3695001395647032E-3</v>
      </c>
    </row>
    <row r="30" spans="2:23" ht="19.5" customHeight="1">
      <c r="B30" s="184"/>
      <c r="C30" s="172"/>
      <c r="D30" s="172"/>
      <c r="E30" s="172"/>
      <c r="F30" s="172"/>
      <c r="G30" s="162"/>
      <c r="H30" s="168"/>
      <c r="I30" s="166"/>
      <c r="J30" s="165"/>
      <c r="K30" s="167"/>
      <c r="L30" s="167"/>
      <c r="M30" s="166"/>
      <c r="N30" s="165"/>
      <c r="O30" s="169"/>
      <c r="P30" s="169"/>
      <c r="Q30" s="169"/>
      <c r="R30" s="169"/>
      <c r="S30" s="169"/>
      <c r="T30" s="158"/>
      <c r="W30" s="160">
        <f>allineamento!N36</f>
        <v>-2.7398033586203707E-3</v>
      </c>
    </row>
    <row r="31" spans="2:23" ht="19.5" customHeight="1">
      <c r="B31" s="184" t="s">
        <v>111</v>
      </c>
      <c r="C31" s="179">
        <v>20</v>
      </c>
      <c r="D31" s="172" t="s">
        <v>8</v>
      </c>
      <c r="E31" s="173" t="s">
        <v>88</v>
      </c>
      <c r="F31" s="172"/>
      <c r="G31" s="162"/>
      <c r="H31" s="187" t="s">
        <v>104</v>
      </c>
      <c r="I31" s="180">
        <f>allineamento!H4</f>
        <v>0</v>
      </c>
      <c r="J31" s="165" t="s">
        <v>8</v>
      </c>
      <c r="K31" s="167"/>
      <c r="L31" s="191" t="s">
        <v>116</v>
      </c>
      <c r="M31" s="180">
        <f>M25-INPUT1!E12</f>
        <v>33.75</v>
      </c>
      <c r="N31" s="165" t="s">
        <v>8</v>
      </c>
      <c r="O31" s="193" t="s">
        <v>117</v>
      </c>
      <c r="P31" s="167"/>
      <c r="Q31" s="167"/>
      <c r="R31" s="208" t="str">
        <f>IF(AND(INPUT1!P18="OK",M31&gt;=30),"OK","?")</f>
        <v>OK</v>
      </c>
      <c r="S31" s="167"/>
      <c r="T31" s="158"/>
      <c r="W31" s="160">
        <f>allineamento!N37</f>
        <v>-3.0895812871039657E-3</v>
      </c>
    </row>
    <row r="32" spans="2:23" ht="19.5" customHeight="1">
      <c r="B32" s="184"/>
      <c r="C32" s="172"/>
      <c r="D32" s="172"/>
      <c r="E32" s="172"/>
      <c r="F32" s="172"/>
      <c r="G32" s="162"/>
      <c r="H32" s="168"/>
      <c r="I32" s="166"/>
      <c r="J32" s="165"/>
      <c r="K32" s="167"/>
      <c r="L32" s="167"/>
      <c r="M32" s="167"/>
      <c r="N32" s="167"/>
      <c r="O32" s="167"/>
      <c r="P32" s="167"/>
      <c r="Q32" s="167"/>
      <c r="R32" s="208"/>
      <c r="S32" s="167"/>
      <c r="T32" s="158"/>
      <c r="W32" s="160">
        <f>allineamento!N38</f>
        <v>-3.4184521652903485E-3</v>
      </c>
    </row>
    <row r="33" spans="2:23" ht="19.5" customHeight="1">
      <c r="B33" s="184" t="s">
        <v>112</v>
      </c>
      <c r="C33" s="179">
        <v>0</v>
      </c>
      <c r="D33" s="172" t="s">
        <v>8</v>
      </c>
      <c r="E33" s="172"/>
      <c r="F33" s="172"/>
      <c r="G33" s="162"/>
      <c r="H33" s="168" t="s">
        <v>105</v>
      </c>
      <c r="I33" s="182">
        <f>INPUT1!D5</f>
        <v>209.44947522963884</v>
      </c>
      <c r="J33" s="165" t="s">
        <v>87</v>
      </c>
      <c r="K33" s="167"/>
      <c r="L33" s="167"/>
      <c r="M33" s="167"/>
      <c r="N33" s="167"/>
      <c r="O33" s="167"/>
      <c r="P33" s="167"/>
      <c r="Q33" s="167"/>
      <c r="R33" s="208"/>
      <c r="S33" s="167"/>
      <c r="T33" s="174"/>
      <c r="U33" s="164"/>
      <c r="W33" s="160">
        <f>allineamento!N39</f>
        <v>-3.7261609049199602E-3</v>
      </c>
    </row>
    <row r="34" spans="2:23" ht="19.5" customHeight="1">
      <c r="B34" s="184"/>
      <c r="C34" s="172"/>
      <c r="D34" s="172"/>
      <c r="E34" s="172"/>
      <c r="F34" s="172"/>
      <c r="G34" s="162"/>
      <c r="H34" s="168"/>
      <c r="I34" s="165"/>
      <c r="J34" s="165"/>
      <c r="K34" s="165"/>
      <c r="L34" s="167"/>
      <c r="M34" s="167"/>
      <c r="N34" s="167"/>
      <c r="O34" s="167"/>
      <c r="P34" s="167"/>
      <c r="Q34" s="167"/>
      <c r="R34" s="208"/>
      <c r="S34" s="167"/>
      <c r="T34" s="174"/>
      <c r="U34" s="206"/>
      <c r="V34" s="206"/>
      <c r="W34" s="160">
        <f>allineamento!N40</f>
        <v>-4.0125590547704544E-3</v>
      </c>
    </row>
    <row r="35" spans="2:23" ht="22.5" customHeight="1">
      <c r="B35" s="172"/>
      <c r="C35" s="172"/>
      <c r="D35" s="172"/>
      <c r="E35" s="172"/>
      <c r="F35" s="172"/>
      <c r="G35" s="162"/>
      <c r="H35" s="168" t="s">
        <v>106</v>
      </c>
      <c r="I35" s="182">
        <f>INPUT1!L5</f>
        <v>114.44546061416881</v>
      </c>
      <c r="J35" s="165" t="s">
        <v>87</v>
      </c>
      <c r="K35" s="167"/>
      <c r="L35" s="167"/>
      <c r="M35" s="167"/>
      <c r="N35" s="170"/>
      <c r="O35" s="167"/>
      <c r="P35" s="167"/>
      <c r="Q35" s="167"/>
      <c r="R35" s="208"/>
      <c r="S35" s="167"/>
      <c r="T35" s="174"/>
      <c r="U35" s="206"/>
      <c r="V35" s="206"/>
      <c r="W35" s="160">
        <f>allineamento!N41</f>
        <v>-4.277587874655122E-3</v>
      </c>
    </row>
    <row r="36" spans="2:23" ht="15" customHeight="1">
      <c r="T36" s="164"/>
      <c r="U36" s="206"/>
      <c r="V36" s="206"/>
      <c r="W36" s="160">
        <f>allineamento!N42</f>
        <v>-4.5212640039785775E-3</v>
      </c>
    </row>
    <row r="37" spans="2:23" ht="15" customHeight="1">
      <c r="U37" s="206"/>
      <c r="V37" s="206"/>
      <c r="W37" s="160">
        <f>allineamento!N43</f>
        <v>-4.743667302916939E-3</v>
      </c>
    </row>
    <row r="38" spans="2:23" ht="15" customHeight="1">
      <c r="U38" s="206"/>
      <c r="V38" s="206"/>
      <c r="W38" s="160">
        <f>allineamento!N44</f>
        <v>-4.9449305183761174E-3</v>
      </c>
    </row>
    <row r="39" spans="2:23" ht="15" customHeight="1">
      <c r="W39" s="160">
        <f>allineamento!N45</f>
        <v>-5.1252304869460596E-3</v>
      </c>
    </row>
    <row r="40" spans="2:23" ht="15" customHeight="1">
      <c r="W40" s="160">
        <f>allineamento!N46</f>
        <v>-5.2847806359249353E-3</v>
      </c>
    </row>
    <row r="41" spans="2:23" ht="15" customHeight="1">
      <c r="W41" s="160">
        <f>allineamento!N47</f>
        <v>-5.4238245833770739E-3</v>
      </c>
    </row>
    <row r="42" spans="2:23" ht="15" customHeight="1">
      <c r="W42" s="160">
        <f>allineamento!N48</f>
        <v>-5.5426306709189946E-3</v>
      </c>
    </row>
    <row r="43" spans="2:23" ht="15" customHeight="1">
      <c r="W43" s="160">
        <f>allineamento!N49</f>
        <v>-5.6414872898409669E-3</v>
      </c>
    </row>
    <row r="44" spans="2:23" ht="15" customHeight="1">
      <c r="W44" s="160">
        <f>allineamento!N50</f>
        <v>-5.7206988834035966E-3</v>
      </c>
    </row>
    <row r="45" spans="2:23" ht="15" customHeight="1">
      <c r="W45" s="160">
        <f>allineamento!N51</f>
        <v>-5.7805825265604864E-3</v>
      </c>
    </row>
    <row r="46" spans="2:23" ht="15" customHeight="1">
      <c r="W46" s="160">
        <f>allineamento!N52</f>
        <v>-5.8214649996836034E-3</v>
      </c>
    </row>
    <row r="47" spans="2:23" ht="15" customHeight="1">
      <c r="W47" s="160">
        <f>allineamento!N53</f>
        <v>-5.843680285604118E-3</v>
      </c>
    </row>
    <row r="48" spans="2:23" ht="15" customHeight="1">
      <c r="W48" s="160">
        <f>allineamento!N54</f>
        <v>-5.8475674299580385E-3</v>
      </c>
    </row>
    <row r="49" spans="23:23" ht="15" customHeight="1">
      <c r="W49" s="160">
        <f>allineamento!N55</f>
        <v>-5.8334687137921726E-3</v>
      </c>
    </row>
    <row r="50" spans="23:23" ht="15" customHeight="1">
      <c r="W50" s="160">
        <f>allineamento!N56</f>
        <v>-5.8017280948655285E-3</v>
      </c>
    </row>
    <row r="51" spans="23:23" ht="15" customHeight="1">
      <c r="W51" s="160">
        <f>allineamento!N57</f>
        <v>-5.7526898804524688E-3</v>
      </c>
    </row>
    <row r="52" spans="23:23" ht="15" customHeight="1">
      <c r="W52" s="160">
        <f>allineamento!N58</f>
        <v>-5.6866975997914857E-3</v>
      </c>
    </row>
    <row r="53" spans="23:23" ht="15" customHeight="1">
      <c r="W53" s="160">
        <f>allineamento!N59</f>
        <v>-5.6040930488685881E-3</v>
      </c>
    </row>
    <row r="54" spans="23:23" ht="15" customHeight="1">
      <c r="W54" s="160">
        <f>allineamento!N60</f>
        <v>-5.5052154840535784E-3</v>
      </c>
    </row>
    <row r="55" spans="23:23" ht="15" customHeight="1">
      <c r="W55" s="160">
        <f>allineamento!N61</f>
        <v>-5.3904009444096417E-3</v>
      </c>
    </row>
    <row r="56" spans="23:23" ht="15" customHeight="1">
      <c r="W56" s="160">
        <f>allineamento!N62</f>
        <v>-5.2599816852598536E-3</v>
      </c>
    </row>
    <row r="57" spans="23:23" ht="15" customHeight="1">
      <c r="W57" s="160">
        <f>allineamento!N63</f>
        <v>-5.1142857079955473E-3</v>
      </c>
    </row>
    <row r="58" spans="23:23" ht="15" customHeight="1">
      <c r="W58" s="160">
        <f>allineamento!N64</f>
        <v>-4.9536363731465518E-3</v>
      </c>
    </row>
    <row r="59" spans="23:23" ht="15" customHeight="1">
      <c r="W59" s="160">
        <f>allineamento!N65</f>
        <v>-4.7783520854766098E-3</v>
      </c>
    </row>
    <row r="60" spans="23:23" ht="15" customHeight="1">
      <c r="W60" s="160">
        <f>allineamento!N66</f>
        <v>-4.5887460413721985E-3</v>
      </c>
    </row>
    <row r="61" spans="23:23" ht="15" customHeight="1">
      <c r="W61" s="160">
        <f>allineamento!N67</f>
        <v>-4.3851260300914437E-3</v>
      </c>
    </row>
    <row r="62" spans="23:23" ht="15" customHeight="1">
      <c r="W62" s="160">
        <f>allineamento!N68</f>
        <v>-4.1677942815410759E-3</v>
      </c>
    </row>
    <row r="63" spans="23:23" ht="15" customHeight="1">
      <c r="W63" s="160">
        <f>allineamento!N69</f>
        <v>-3.937047354218114E-3</v>
      </c>
    </row>
    <row r="64" spans="23:23" ht="15" customHeight="1">
      <c r="W64" s="160">
        <f>allineamento!N70</f>
        <v>-3.6931760577724568E-3</v>
      </c>
    </row>
    <row r="65" spans="23:23" ht="15" customHeight="1">
      <c r="W65" s="160">
        <f>allineamento!N71</f>
        <v>-3.4364654053930565E-3</v>
      </c>
    </row>
    <row r="66" spans="23:23" ht="15" customHeight="1">
      <c r="W66" s="160">
        <f>allineamento!N72</f>
        <v>-3.1671945917957707E-3</v>
      </c>
    </row>
    <row r="67" spans="23:23" ht="15" customHeight="1">
      <c r="W67" s="160">
        <f>allineamento!N73</f>
        <v>-2.8856369931731618E-3</v>
      </c>
    </row>
    <row r="68" spans="23:23" ht="15" customHeight="1">
      <c r="W68" s="160">
        <f>allineamento!N74</f>
        <v>-2.59206018592619E-3</v>
      </c>
    </row>
    <row r="69" spans="23:23" ht="15" customHeight="1">
      <c r="W69" s="160">
        <f>allineamento!N75</f>
        <v>-2.2867259813802985E-3</v>
      </c>
    </row>
    <row r="70" spans="23:23" ht="15" customHeight="1">
      <c r="W70" s="160">
        <f>allineamento!N76</f>
        <v>-1.9698904740810086E-3</v>
      </c>
    </row>
    <row r="71" spans="23:23" ht="15" customHeight="1">
      <c r="W71" s="160">
        <f>allineamento!N77</f>
        <v>-1.6418041015469819E-3</v>
      </c>
    </row>
    <row r="72" spans="23:23" ht="15" customHeight="1">
      <c r="W72" s="160">
        <f>allineamento!N78</f>
        <v>-1.3027117136399017E-3</v>
      </c>
    </row>
    <row r="73" spans="23:23" ht="15" customHeight="1">
      <c r="W73" s="160">
        <f>allineamento!N79</f>
        <v>-9.5285264994271501E-4</v>
      </c>
    </row>
    <row r="74" spans="23:23" ht="15" customHeight="1">
      <c r="W74" s="160">
        <f>allineamento!N80</f>
        <v>-5.9246082375019658E-4</v>
      </c>
    </row>
    <row r="75" spans="23:23" ht="15" customHeight="1">
      <c r="W75" s="160">
        <f>allineamento!N81</f>
        <v>-2.21764811438746E-4</v>
      </c>
    </row>
    <row r="76" spans="23:23" ht="15" customHeight="1">
      <c r="W76" s="160">
        <f>allineamento!N82</f>
        <v>1.5901205383148863E-4</v>
      </c>
    </row>
    <row r="77" spans="23:23" ht="15" customHeight="1">
      <c r="W77" s="160">
        <f>allineamento!N83</f>
        <v>5.496515850190451E-4</v>
      </c>
    </row>
    <row r="78" spans="23:23" ht="15" customHeight="1">
      <c r="W78" s="160">
        <f>allineamento!N84</f>
        <v>9.4994064151334725E-4</v>
      </c>
    </row>
    <row r="79" spans="23:23" ht="15" customHeight="1">
      <c r="W79" s="160">
        <f>allineamento!N85</f>
        <v>1.3596710275405916E-3</v>
      </c>
    </row>
    <row r="80" spans="23:23" ht="15" customHeight="1">
      <c r="W80" s="160">
        <f>allineamento!N86</f>
        <v>1.7786393892900273E-3</v>
      </c>
    </row>
    <row r="81" spans="23:23" ht="15" customHeight="1">
      <c r="W81" s="160">
        <f>allineamento!N87</f>
        <v>2.2066471112632837E-3</v>
      </c>
    </row>
    <row r="82" spans="23:23" ht="15" customHeight="1">
      <c r="W82" s="160">
        <f>allineamento!N88</f>
        <v>2.6435002123163073E-3</v>
      </c>
    </row>
    <row r="83" spans="23:23" ht="15" customHeight="1">
      <c r="W83" s="160">
        <f>allineamento!N89</f>
        <v>3.0890092417653102E-3</v>
      </c>
    </row>
    <row r="84" spans="23:23" ht="15" customHeight="1">
      <c r="W84" s="160">
        <f>allineamento!N90</f>
        <v>3.5429891759095155E-3</v>
      </c>
    </row>
    <row r="85" spans="23:23" ht="15" customHeight="1">
      <c r="W85" s="160">
        <f>allineamento!N91</f>
        <v>4.0052593152443468E-3</v>
      </c>
    </row>
    <row r="86" spans="23:23" ht="15" customHeight="1">
      <c r="W86" s="160">
        <f>allineamento!N92</f>
        <v>4.4756431826092173E-3</v>
      </c>
    </row>
    <row r="87" spans="23:23" ht="15" customHeight="1">
      <c r="W87" s="160">
        <f>allineamento!N93</f>
        <v>4.9539684224789915E-3</v>
      </c>
    </row>
    <row r="88" spans="23:23" ht="15" customHeight="1">
      <c r="W88" s="160">
        <f>allineamento!N94</f>
        <v>5.4400667015740423E-3</v>
      </c>
    </row>
    <row r="89" spans="23:23" ht="15" customHeight="1">
      <c r="W89" s="160" t="str">
        <f>allineamento!N95</f>
        <v/>
      </c>
    </row>
    <row r="90" spans="23:23" ht="15" customHeight="1">
      <c r="W90" s="160" t="str">
        <f>allineamento!N96</f>
        <v/>
      </c>
    </row>
    <row r="91" spans="23:23" ht="15" customHeight="1">
      <c r="W91" s="160" t="str">
        <f>allineamento!N97</f>
        <v/>
      </c>
    </row>
    <row r="92" spans="23:23" ht="15" customHeight="1">
      <c r="W92" s="160" t="str">
        <f>allineamento!N98</f>
        <v/>
      </c>
    </row>
    <row r="93" spans="23:23" ht="15" customHeight="1">
      <c r="W93" s="160" t="str">
        <f>allineamento!N99</f>
        <v/>
      </c>
    </row>
    <row r="94" spans="23:23" ht="15" customHeight="1">
      <c r="W94" s="160" t="str">
        <f>allineamento!N100</f>
        <v/>
      </c>
    </row>
    <row r="95" spans="23:23" ht="15" customHeight="1">
      <c r="W95" s="160" t="str">
        <f>allineamento!N101</f>
        <v/>
      </c>
    </row>
    <row r="96" spans="23:23" ht="15" customHeight="1">
      <c r="W96" s="160" t="str">
        <f>allineamento!N102</f>
        <v/>
      </c>
    </row>
    <row r="97" spans="23:23" ht="15" customHeight="1">
      <c r="W97" s="160" t="str">
        <f>allineamento!N103</f>
        <v/>
      </c>
    </row>
    <row r="98" spans="23:23" ht="15" customHeight="1">
      <c r="W98" s="160" t="str">
        <f>allineamento!N104</f>
        <v/>
      </c>
    </row>
    <row r="99" spans="23:23" ht="15" customHeight="1">
      <c r="W99" s="160" t="str">
        <f>allineamento!N105</f>
        <v/>
      </c>
    </row>
    <row r="100" spans="23:23" ht="15" customHeight="1">
      <c r="W100" s="160" t="str">
        <f>allineamento!N106</f>
        <v/>
      </c>
    </row>
    <row r="101" spans="23:23" ht="15" customHeight="1">
      <c r="W101" s="160" t="str">
        <f>allineamento!N107</f>
        <v/>
      </c>
    </row>
    <row r="102" spans="23:23" ht="15" customHeight="1">
      <c r="W102" s="160" t="str">
        <f>allineamento!N108</f>
        <v/>
      </c>
    </row>
    <row r="103" spans="23:23" ht="15" customHeight="1">
      <c r="W103" s="160" t="str">
        <f>allineamento!N109</f>
        <v/>
      </c>
    </row>
    <row r="104" spans="23:23" ht="15" customHeight="1">
      <c r="W104" s="160" t="str">
        <f>allineamento!N110</f>
        <v/>
      </c>
    </row>
  </sheetData>
  <sheetProtection password="CC1E" sheet="1" objects="1" scenarios="1"/>
  <mergeCells count="5">
    <mergeCell ref="B21:F21"/>
    <mergeCell ref="H21:K21"/>
    <mergeCell ref="U34:V38"/>
    <mergeCell ref="H2:S4"/>
    <mergeCell ref="R31:R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INPUT</vt:lpstr>
      <vt:lpstr>allineamento</vt:lpstr>
      <vt:lpstr>INPUT1</vt:lpstr>
      <vt:lpstr>SUPERETERODINA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2011-10-10T21:29:41Z</dcterms:created>
  <dcterms:modified xsi:type="dcterms:W3CDTF">2018-03-12T19:58:07Z</dcterms:modified>
</cp:coreProperties>
</file>